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Главный Энергетик\ТП\АКТУАЛЬНЫЕ ДАННЫЕ ПО ТП\паспорта ТП наши  изменения за 2025 год\"/>
    </mc:Choice>
  </mc:AlternateContent>
  <xr:revisionPtr revIDLastSave="0" documentId="13_ncr:1_{182C51E9-FF7C-4180-B4E1-AA6A1CA2B16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КАБЕЛЬНЫЕ ЛИНИИ " sheetId="1" r:id="rId1"/>
    <sheet name="6кВ" sheetId="2" r:id="rId2"/>
    <sheet name="0,4 кВ" sheetId="3" r:id="rId3"/>
    <sheet name="загруженность ТП " sheetId="8" r:id="rId4"/>
  </sheets>
  <definedNames>
    <definedName name="_xlnm._FilterDatabase" localSheetId="0" hidden="1">'КАБЕЛЬНЫЕ ЛИНИИ '!$A$7:$N$298</definedName>
    <definedName name="_xlnm.Print_Area" localSheetId="0">'КАБЕЛЬНЫЕ ЛИНИИ '!$A$190:$G$300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5" i="1" l="1"/>
  <c r="E158" i="1"/>
  <c r="M158" i="1"/>
  <c r="N158" i="1" s="1"/>
  <c r="L158" i="1"/>
  <c r="J158" i="1"/>
  <c r="D315" i="1" l="1"/>
  <c r="F37" i="8" l="1"/>
  <c r="G37" i="8" s="1"/>
  <c r="J39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3" i="8"/>
  <c r="J21" i="8"/>
  <c r="J20" i="8"/>
  <c r="J19" i="8"/>
  <c r="J18" i="8"/>
  <c r="J9" i="8"/>
  <c r="J8" i="8"/>
  <c r="I40" i="8"/>
  <c r="J17" i="8"/>
  <c r="J16" i="8"/>
  <c r="J15" i="8"/>
  <c r="J14" i="8"/>
  <c r="J13" i="8"/>
  <c r="J12" i="8"/>
  <c r="J11" i="8"/>
  <c r="J10" i="8"/>
  <c r="H40" i="8"/>
  <c r="G39" i="8"/>
  <c r="F36" i="8"/>
  <c r="G36" i="8" s="1"/>
  <c r="F35" i="8"/>
  <c r="G35" i="8" s="1"/>
  <c r="F34" i="8"/>
  <c r="G34" i="8" s="1"/>
  <c r="F33" i="8"/>
  <c r="F32" i="8"/>
  <c r="F31" i="8"/>
  <c r="G31" i="8" s="1"/>
  <c r="F30" i="8"/>
  <c r="G30" i="8" s="1"/>
  <c r="F29" i="8"/>
  <c r="G29" i="8" s="1"/>
  <c r="F28" i="8"/>
  <c r="G28" i="8" s="1"/>
  <c r="F27" i="8"/>
  <c r="F26" i="8"/>
  <c r="F25" i="8"/>
  <c r="G25" i="8" s="1"/>
  <c r="F23" i="8"/>
  <c r="F21" i="8"/>
  <c r="F20" i="8"/>
  <c r="F19" i="8"/>
  <c r="G19" i="8" s="1"/>
  <c r="F18" i="8"/>
  <c r="G18" i="8" s="1"/>
  <c r="G17" i="8"/>
  <c r="G16" i="8"/>
  <c r="G15" i="8"/>
  <c r="G14" i="8"/>
  <c r="G13" i="8"/>
  <c r="G12" i="8"/>
  <c r="G11" i="8"/>
  <c r="G10" i="8"/>
  <c r="F9" i="8"/>
  <c r="G9" i="8" s="1"/>
  <c r="F8" i="8"/>
  <c r="G8" i="8" s="1"/>
  <c r="J40" i="8" l="1"/>
  <c r="G27" i="8"/>
  <c r="F40" i="8"/>
  <c r="G20" i="8"/>
  <c r="G26" i="8"/>
  <c r="G21" i="8"/>
  <c r="G33" i="8"/>
  <c r="G23" i="8"/>
  <c r="G32" i="8"/>
  <c r="G40" i="8" l="1"/>
  <c r="L273" i="3" l="1"/>
  <c r="M273" i="3" s="1"/>
  <c r="K273" i="3"/>
  <c r="J273" i="3"/>
  <c r="L87" i="3" l="1"/>
  <c r="M87" i="3" s="1"/>
  <c r="K87" i="3"/>
  <c r="J87" i="3"/>
  <c r="O13" i="1" l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L29" i="3" l="1"/>
  <c r="K29" i="3"/>
  <c r="J29" i="3"/>
  <c r="M29" i="3" l="1"/>
  <c r="D305" i="1"/>
  <c r="E306" i="1"/>
  <c r="D306" i="1"/>
  <c r="M42" i="2" l="1"/>
  <c r="N42" i="2" s="1"/>
  <c r="L42" i="2"/>
  <c r="K42" i="2"/>
  <c r="O12" i="1" l="1"/>
  <c r="M270" i="1"/>
  <c r="N270" i="1" s="1"/>
  <c r="J270" i="1"/>
  <c r="L270" i="1" s="1"/>
  <c r="M269" i="1"/>
  <c r="N269" i="1" s="1"/>
  <c r="J269" i="1"/>
  <c r="L269" i="1" s="1"/>
  <c r="M157" i="1"/>
  <c r="N157" i="1" s="1"/>
  <c r="J157" i="1"/>
  <c r="L157" i="1" s="1"/>
  <c r="M136" i="1"/>
  <c r="N136" i="1" s="1"/>
  <c r="J136" i="1"/>
  <c r="L136" i="1" s="1"/>
  <c r="F300" i="1" l="1"/>
  <c r="L280" i="3" l="1"/>
  <c r="K280" i="3"/>
  <c r="J280" i="3"/>
  <c r="L276" i="3"/>
  <c r="M276" i="3" s="1"/>
  <c r="K276" i="3"/>
  <c r="J276" i="3"/>
  <c r="L277" i="3"/>
  <c r="K277" i="3"/>
  <c r="J277" i="3"/>
  <c r="L266" i="3"/>
  <c r="M266" i="3" s="1"/>
  <c r="K266" i="3"/>
  <c r="J266" i="3"/>
  <c r="L264" i="3"/>
  <c r="K264" i="3"/>
  <c r="J264" i="3"/>
  <c r="L246" i="3"/>
  <c r="M246" i="3" s="1"/>
  <c r="K246" i="3"/>
  <c r="J246" i="3"/>
  <c r="L243" i="3"/>
  <c r="K243" i="3"/>
  <c r="J243" i="3"/>
  <c r="L234" i="3"/>
  <c r="M234" i="3" s="1"/>
  <c r="K234" i="3"/>
  <c r="J234" i="3"/>
  <c r="L231" i="3"/>
  <c r="K231" i="3"/>
  <c r="J231" i="3"/>
  <c r="L219" i="3"/>
  <c r="M219" i="3" s="1"/>
  <c r="K219" i="3"/>
  <c r="J219" i="3"/>
  <c r="L218" i="3"/>
  <c r="K218" i="3"/>
  <c r="J218" i="3"/>
  <c r="L217" i="3"/>
  <c r="M217" i="3" s="1"/>
  <c r="K217" i="3"/>
  <c r="J217" i="3"/>
  <c r="L208" i="3"/>
  <c r="K208" i="3"/>
  <c r="J208" i="3"/>
  <c r="L206" i="3"/>
  <c r="M206" i="3" s="1"/>
  <c r="K206" i="3"/>
  <c r="J206" i="3"/>
  <c r="L207" i="3"/>
  <c r="K207" i="3"/>
  <c r="J207" i="3"/>
  <c r="L198" i="3"/>
  <c r="M198" i="3" s="1"/>
  <c r="K198" i="3"/>
  <c r="J198" i="3"/>
  <c r="L196" i="3"/>
  <c r="K196" i="3"/>
  <c r="J196" i="3"/>
  <c r="L197" i="3"/>
  <c r="M197" i="3" s="1"/>
  <c r="K197" i="3"/>
  <c r="J197" i="3"/>
  <c r="L187" i="3"/>
  <c r="K187" i="3"/>
  <c r="J187" i="3"/>
  <c r="L185" i="3"/>
  <c r="M185" i="3" s="1"/>
  <c r="K185" i="3"/>
  <c r="J185" i="3"/>
  <c r="L172" i="3"/>
  <c r="K172" i="3"/>
  <c r="J172" i="3"/>
  <c r="L170" i="3"/>
  <c r="M170" i="3" s="1"/>
  <c r="K170" i="3"/>
  <c r="J170" i="3"/>
  <c r="L171" i="3"/>
  <c r="K171" i="3"/>
  <c r="J171" i="3"/>
  <c r="L162" i="3"/>
  <c r="M162" i="3" s="1"/>
  <c r="K162" i="3"/>
  <c r="J162" i="3"/>
  <c r="L160" i="3"/>
  <c r="K160" i="3"/>
  <c r="J160" i="3"/>
  <c r="L161" i="3"/>
  <c r="M161" i="3" s="1"/>
  <c r="K161" i="3"/>
  <c r="J161" i="3"/>
  <c r="L151" i="3"/>
  <c r="K151" i="3"/>
  <c r="J151" i="3"/>
  <c r="L149" i="3"/>
  <c r="K149" i="3"/>
  <c r="J149" i="3"/>
  <c r="L150" i="3"/>
  <c r="K150" i="3"/>
  <c r="J150" i="3"/>
  <c r="L140" i="3"/>
  <c r="K140" i="3"/>
  <c r="J140" i="3"/>
  <c r="L138" i="3"/>
  <c r="K138" i="3"/>
  <c r="J138" i="3"/>
  <c r="L139" i="3"/>
  <c r="K139" i="3"/>
  <c r="J139" i="3"/>
  <c r="L133" i="3"/>
  <c r="K133" i="3"/>
  <c r="J133" i="3"/>
  <c r="L131" i="3"/>
  <c r="K131" i="3"/>
  <c r="J131" i="3"/>
  <c r="L132" i="3"/>
  <c r="K132" i="3"/>
  <c r="J132" i="3"/>
  <c r="L117" i="3"/>
  <c r="K117" i="3"/>
  <c r="J117" i="3"/>
  <c r="L103" i="3"/>
  <c r="K103" i="3"/>
  <c r="J103" i="3"/>
  <c r="L104" i="3"/>
  <c r="K104" i="3"/>
  <c r="J104" i="3"/>
  <c r="L89" i="3"/>
  <c r="K89" i="3"/>
  <c r="J89" i="3"/>
  <c r="L90" i="3"/>
  <c r="K90" i="3"/>
  <c r="J90" i="3"/>
  <c r="L91" i="3"/>
  <c r="K91" i="3"/>
  <c r="J91" i="3"/>
  <c r="L75" i="3"/>
  <c r="K75" i="3"/>
  <c r="J75" i="3"/>
  <c r="L62" i="3"/>
  <c r="K62" i="3"/>
  <c r="J62" i="3"/>
  <c r="L18" i="3"/>
  <c r="K18" i="3"/>
  <c r="J18" i="3"/>
  <c r="L7" i="3"/>
  <c r="K7" i="3"/>
  <c r="J7" i="3"/>
  <c r="M171" i="3" l="1"/>
  <c r="M196" i="3"/>
  <c r="M208" i="3"/>
  <c r="M231" i="3"/>
  <c r="M277" i="3"/>
  <c r="M75" i="3"/>
  <c r="M160" i="3"/>
  <c r="M172" i="3"/>
  <c r="M187" i="3"/>
  <c r="M207" i="3"/>
  <c r="M218" i="3"/>
  <c r="M243" i="3"/>
  <c r="M264" i="3"/>
  <c r="M280" i="3"/>
  <c r="M104" i="3"/>
  <c r="M140" i="3"/>
  <c r="M90" i="3"/>
  <c r="M117" i="3"/>
  <c r="M131" i="3"/>
  <c r="M139" i="3"/>
  <c r="M149" i="3"/>
  <c r="M89" i="3"/>
  <c r="M103" i="3"/>
  <c r="M132" i="3"/>
  <c r="M133" i="3"/>
  <c r="M138" i="3"/>
  <c r="M150" i="3"/>
  <c r="M151" i="3"/>
  <c r="M18" i="3"/>
  <c r="M62" i="3"/>
  <c r="M91" i="3"/>
  <c r="M7" i="3"/>
  <c r="L270" i="3" l="1"/>
  <c r="K270" i="3"/>
  <c r="J270" i="3"/>
  <c r="L209" i="3"/>
  <c r="K209" i="3"/>
  <c r="J209" i="3"/>
  <c r="L201" i="3"/>
  <c r="K201" i="3"/>
  <c r="J201" i="3"/>
  <c r="L200" i="3"/>
  <c r="K200" i="3"/>
  <c r="J200" i="3"/>
  <c r="G204" i="3"/>
  <c r="G205" i="3"/>
  <c r="G181" i="3"/>
  <c r="L108" i="3"/>
  <c r="K108" i="3"/>
  <c r="J108" i="3"/>
  <c r="M209" i="3" l="1"/>
  <c r="M108" i="3"/>
  <c r="M200" i="3"/>
  <c r="M201" i="3"/>
  <c r="M270" i="3"/>
  <c r="L96" i="3"/>
  <c r="K96" i="3"/>
  <c r="J96" i="3"/>
  <c r="L79" i="3"/>
  <c r="K79" i="3"/>
  <c r="J79" i="3"/>
  <c r="L66" i="3"/>
  <c r="K66" i="3"/>
  <c r="J66" i="3"/>
  <c r="L19" i="3"/>
  <c r="K19" i="3"/>
  <c r="J19" i="3"/>
  <c r="M96" i="3" l="1"/>
  <c r="M66" i="3"/>
  <c r="M79" i="3"/>
  <c r="M19" i="3"/>
  <c r="D304" i="1" l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L294" i="3" l="1"/>
  <c r="K294" i="3"/>
  <c r="J294" i="3"/>
  <c r="L293" i="3"/>
  <c r="K293" i="3"/>
  <c r="J293" i="3"/>
  <c r="L292" i="3"/>
  <c r="K292" i="3"/>
  <c r="J292" i="3"/>
  <c r="L291" i="3"/>
  <c r="K291" i="3"/>
  <c r="J291" i="3"/>
  <c r="L290" i="3"/>
  <c r="K290" i="3"/>
  <c r="J290" i="3"/>
  <c r="L289" i="3"/>
  <c r="K289" i="3"/>
  <c r="J289" i="3"/>
  <c r="L288" i="3"/>
  <c r="K288" i="3"/>
  <c r="J288" i="3"/>
  <c r="L287" i="3"/>
  <c r="K287" i="3"/>
  <c r="J287" i="3"/>
  <c r="L286" i="3"/>
  <c r="K286" i="3"/>
  <c r="J286" i="3"/>
  <c r="L285" i="3"/>
  <c r="K285" i="3"/>
  <c r="J285" i="3"/>
  <c r="L284" i="3"/>
  <c r="K284" i="3"/>
  <c r="J284" i="3"/>
  <c r="L283" i="3"/>
  <c r="K283" i="3"/>
  <c r="J283" i="3"/>
  <c r="L282" i="3"/>
  <c r="K282" i="3"/>
  <c r="J282" i="3"/>
  <c r="L281" i="3"/>
  <c r="K281" i="3"/>
  <c r="J281" i="3"/>
  <c r="L279" i="3"/>
  <c r="K279" i="3"/>
  <c r="J279" i="3"/>
  <c r="L275" i="3"/>
  <c r="K275" i="3"/>
  <c r="J275" i="3"/>
  <c r="L274" i="3"/>
  <c r="K274" i="3"/>
  <c r="J274" i="3"/>
  <c r="L238" i="3"/>
  <c r="K238" i="3"/>
  <c r="J238" i="3"/>
  <c r="L237" i="3"/>
  <c r="K237" i="3"/>
  <c r="J237" i="3"/>
  <c r="L236" i="3"/>
  <c r="K236" i="3"/>
  <c r="J236" i="3"/>
  <c r="L235" i="3"/>
  <c r="K235" i="3"/>
  <c r="J235" i="3"/>
  <c r="L233" i="3"/>
  <c r="K233" i="3"/>
  <c r="J233" i="3"/>
  <c r="L232" i="3"/>
  <c r="K232" i="3"/>
  <c r="J232" i="3"/>
  <c r="L203" i="3"/>
  <c r="K203" i="3"/>
  <c r="J203" i="3"/>
  <c r="L202" i="3"/>
  <c r="K202" i="3"/>
  <c r="J202" i="3"/>
  <c r="L194" i="3"/>
  <c r="K194" i="3"/>
  <c r="J194" i="3"/>
  <c r="L193" i="3"/>
  <c r="K193" i="3"/>
  <c r="J193" i="3"/>
  <c r="L192" i="3"/>
  <c r="K192" i="3"/>
  <c r="J192" i="3"/>
  <c r="L191" i="3"/>
  <c r="K191" i="3"/>
  <c r="J191" i="3"/>
  <c r="L190" i="3"/>
  <c r="K190" i="3"/>
  <c r="J190" i="3"/>
  <c r="L189" i="3"/>
  <c r="K189" i="3"/>
  <c r="J189" i="3"/>
  <c r="L188" i="3"/>
  <c r="K188" i="3"/>
  <c r="J188" i="3"/>
  <c r="L186" i="3"/>
  <c r="K186" i="3"/>
  <c r="J186" i="3"/>
  <c r="L181" i="3"/>
  <c r="K181" i="3"/>
  <c r="J181" i="3"/>
  <c r="L180" i="3"/>
  <c r="K180" i="3"/>
  <c r="J180" i="3"/>
  <c r="L179" i="3"/>
  <c r="K179" i="3"/>
  <c r="J179" i="3"/>
  <c r="L178" i="3"/>
  <c r="K178" i="3"/>
  <c r="J178" i="3"/>
  <c r="L177" i="3"/>
  <c r="K177" i="3"/>
  <c r="J177" i="3"/>
  <c r="L176" i="3"/>
  <c r="K176" i="3"/>
  <c r="J176" i="3"/>
  <c r="L175" i="3"/>
  <c r="K175" i="3"/>
  <c r="J175" i="3"/>
  <c r="L174" i="3"/>
  <c r="K174" i="3"/>
  <c r="J174" i="3"/>
  <c r="L173" i="3"/>
  <c r="K173" i="3"/>
  <c r="J173" i="3"/>
  <c r="L168" i="3"/>
  <c r="K168" i="3"/>
  <c r="J168" i="3"/>
  <c r="L167" i="3"/>
  <c r="K167" i="3"/>
  <c r="J167" i="3"/>
  <c r="L166" i="3"/>
  <c r="K166" i="3"/>
  <c r="J166" i="3"/>
  <c r="L165" i="3"/>
  <c r="K165" i="3"/>
  <c r="J165" i="3"/>
  <c r="L164" i="3"/>
  <c r="K164" i="3"/>
  <c r="J164" i="3"/>
  <c r="L163" i="3"/>
  <c r="K163" i="3"/>
  <c r="J163" i="3"/>
  <c r="L159" i="3"/>
  <c r="K159" i="3"/>
  <c r="J159" i="3"/>
  <c r="L158" i="3"/>
  <c r="K158" i="3"/>
  <c r="J158" i="3"/>
  <c r="L157" i="3"/>
  <c r="K157" i="3"/>
  <c r="J157" i="3"/>
  <c r="L156" i="3"/>
  <c r="K156" i="3"/>
  <c r="J156" i="3"/>
  <c r="L155" i="3"/>
  <c r="K155" i="3"/>
  <c r="J155" i="3"/>
  <c r="L154" i="3"/>
  <c r="K154" i="3"/>
  <c r="J154" i="3"/>
  <c r="L153" i="3"/>
  <c r="K153" i="3"/>
  <c r="J153" i="3"/>
  <c r="L152" i="3"/>
  <c r="K152" i="3"/>
  <c r="J152" i="3"/>
  <c r="L146" i="3"/>
  <c r="K146" i="3"/>
  <c r="J146" i="3"/>
  <c r="L145" i="3"/>
  <c r="K145" i="3"/>
  <c r="J145" i="3"/>
  <c r="L144" i="3"/>
  <c r="K144" i="3"/>
  <c r="J144" i="3"/>
  <c r="L143" i="3"/>
  <c r="K143" i="3"/>
  <c r="J143" i="3"/>
  <c r="L142" i="3"/>
  <c r="K142" i="3"/>
  <c r="J142" i="3"/>
  <c r="L141" i="3"/>
  <c r="K141" i="3"/>
  <c r="J141" i="3"/>
  <c r="L136" i="3"/>
  <c r="K136" i="3"/>
  <c r="J136" i="3"/>
  <c r="L135" i="3"/>
  <c r="K135" i="3"/>
  <c r="J135" i="3"/>
  <c r="L134" i="3"/>
  <c r="K134" i="3"/>
  <c r="J134" i="3"/>
  <c r="L129" i="3"/>
  <c r="K129" i="3"/>
  <c r="J129" i="3"/>
  <c r="L128" i="3"/>
  <c r="K128" i="3"/>
  <c r="J128" i="3"/>
  <c r="L127" i="3"/>
  <c r="K127" i="3"/>
  <c r="J127" i="3"/>
  <c r="L126" i="3"/>
  <c r="K126" i="3"/>
  <c r="J126" i="3"/>
  <c r="L125" i="3"/>
  <c r="K125" i="3"/>
  <c r="J125" i="3"/>
  <c r="L124" i="3"/>
  <c r="K124" i="3"/>
  <c r="J124" i="3"/>
  <c r="L123" i="3"/>
  <c r="K123" i="3"/>
  <c r="J123" i="3"/>
  <c r="L122" i="3"/>
  <c r="K122" i="3"/>
  <c r="J122" i="3"/>
  <c r="L121" i="3"/>
  <c r="K121" i="3"/>
  <c r="J121" i="3"/>
  <c r="L120" i="3"/>
  <c r="K120" i="3"/>
  <c r="J120" i="3"/>
  <c r="L119" i="3"/>
  <c r="K119" i="3"/>
  <c r="J119" i="3"/>
  <c r="L118" i="3"/>
  <c r="K118" i="3"/>
  <c r="J118" i="3"/>
  <c r="L116" i="3"/>
  <c r="K116" i="3"/>
  <c r="J116" i="3"/>
  <c r="L115" i="3"/>
  <c r="K115" i="3"/>
  <c r="J115" i="3"/>
  <c r="L114" i="3"/>
  <c r="K114" i="3"/>
  <c r="J114" i="3"/>
  <c r="L111" i="3"/>
  <c r="K111" i="3"/>
  <c r="J111" i="3"/>
  <c r="L110" i="3"/>
  <c r="K110" i="3"/>
  <c r="J110" i="3"/>
  <c r="L109" i="3"/>
  <c r="K109" i="3"/>
  <c r="J109" i="3"/>
  <c r="L100" i="3"/>
  <c r="K100" i="3"/>
  <c r="J100" i="3"/>
  <c r="L99" i="3"/>
  <c r="K99" i="3"/>
  <c r="J99" i="3"/>
  <c r="L98" i="3"/>
  <c r="K98" i="3"/>
  <c r="J98" i="3"/>
  <c r="L97" i="3"/>
  <c r="K97" i="3"/>
  <c r="J97" i="3"/>
  <c r="L95" i="3"/>
  <c r="K95" i="3"/>
  <c r="J95" i="3"/>
  <c r="L94" i="3"/>
  <c r="K94" i="3"/>
  <c r="J94" i="3"/>
  <c r="L93" i="3"/>
  <c r="K93" i="3"/>
  <c r="J93" i="3"/>
  <c r="L92" i="3"/>
  <c r="K92" i="3"/>
  <c r="J92" i="3"/>
  <c r="L80" i="3"/>
  <c r="K80" i="3"/>
  <c r="J80" i="3"/>
  <c r="L78" i="3"/>
  <c r="K78" i="3"/>
  <c r="J78" i="3"/>
  <c r="L77" i="3"/>
  <c r="K77" i="3"/>
  <c r="J77" i="3"/>
  <c r="L76" i="3"/>
  <c r="K76" i="3"/>
  <c r="J76" i="3"/>
  <c r="L74" i="3"/>
  <c r="K74" i="3"/>
  <c r="J74" i="3"/>
  <c r="L73" i="3"/>
  <c r="K73" i="3"/>
  <c r="J73" i="3"/>
  <c r="L67" i="3"/>
  <c r="K67" i="3"/>
  <c r="J67" i="3"/>
  <c r="L65" i="3"/>
  <c r="K65" i="3"/>
  <c r="J65" i="3"/>
  <c r="L64" i="3"/>
  <c r="K64" i="3"/>
  <c r="J64" i="3"/>
  <c r="L63" i="3"/>
  <c r="K63" i="3"/>
  <c r="J63" i="3"/>
  <c r="L56" i="3"/>
  <c r="K56" i="3"/>
  <c r="J56" i="3"/>
  <c r="L28" i="3"/>
  <c r="K28" i="3"/>
  <c r="J28" i="3"/>
  <c r="M285" i="3" l="1"/>
  <c r="M289" i="3"/>
  <c r="M287" i="3"/>
  <c r="M291" i="3"/>
  <c r="M63" i="3"/>
  <c r="M73" i="3"/>
  <c r="M78" i="3"/>
  <c r="M94" i="3"/>
  <c r="M99" i="3"/>
  <c r="M109" i="3"/>
  <c r="M120" i="3"/>
  <c r="M65" i="3"/>
  <c r="M76" i="3"/>
  <c r="M92" i="3"/>
  <c r="M97" i="3"/>
  <c r="M100" i="3"/>
  <c r="M111" i="3"/>
  <c r="M115" i="3"/>
  <c r="M118" i="3"/>
  <c r="M122" i="3"/>
  <c r="M124" i="3"/>
  <c r="M126" i="3"/>
  <c r="M128" i="3"/>
  <c r="M134" i="3"/>
  <c r="M136" i="3"/>
  <c r="M142" i="3"/>
  <c r="M144" i="3"/>
  <c r="M146" i="3"/>
  <c r="M153" i="3"/>
  <c r="M155" i="3"/>
  <c r="M157" i="3"/>
  <c r="M159" i="3"/>
  <c r="M164" i="3"/>
  <c r="M166" i="3"/>
  <c r="M168" i="3"/>
  <c r="M174" i="3"/>
  <c r="M176" i="3"/>
  <c r="M178" i="3"/>
  <c r="M180" i="3"/>
  <c r="M186" i="3"/>
  <c r="M189" i="3"/>
  <c r="M191" i="3"/>
  <c r="M193" i="3"/>
  <c r="M202" i="3"/>
  <c r="M232" i="3"/>
  <c r="M235" i="3"/>
  <c r="M237" i="3"/>
  <c r="M274" i="3"/>
  <c r="M279" i="3"/>
  <c r="M282" i="3"/>
  <c r="M288" i="3"/>
  <c r="M286" i="3"/>
  <c r="M28" i="3"/>
  <c r="M56" i="3"/>
  <c r="M64" i="3"/>
  <c r="M67" i="3"/>
  <c r="M74" i="3"/>
  <c r="M77" i="3"/>
  <c r="M80" i="3"/>
  <c r="M93" i="3"/>
  <c r="M95" i="3"/>
  <c r="M98" i="3"/>
  <c r="M110" i="3"/>
  <c r="M114" i="3"/>
  <c r="M116" i="3"/>
  <c r="M119" i="3"/>
  <c r="M121" i="3"/>
  <c r="M123" i="3"/>
  <c r="M125" i="3"/>
  <c r="M127" i="3"/>
  <c r="M129" i="3"/>
  <c r="M135" i="3"/>
  <c r="M141" i="3"/>
  <c r="M143" i="3"/>
  <c r="M145" i="3"/>
  <c r="M152" i="3"/>
  <c r="M154" i="3"/>
  <c r="M156" i="3"/>
  <c r="M158" i="3"/>
  <c r="M163" i="3"/>
  <c r="M165" i="3"/>
  <c r="M167" i="3"/>
  <c r="M173" i="3"/>
  <c r="M175" i="3"/>
  <c r="M177" i="3"/>
  <c r="M179" i="3"/>
  <c r="M181" i="3"/>
  <c r="M188" i="3"/>
  <c r="M190" i="3"/>
  <c r="M192" i="3"/>
  <c r="M194" i="3"/>
  <c r="M203" i="3"/>
  <c r="M233" i="3"/>
  <c r="M236" i="3"/>
  <c r="M238" i="3"/>
  <c r="M275" i="3"/>
  <c r="M281" i="3"/>
  <c r="M290" i="3"/>
  <c r="M284" i="3"/>
  <c r="M293" i="3"/>
  <c r="M283" i="3"/>
  <c r="M292" i="3"/>
  <c r="M294" i="3"/>
  <c r="E274" i="1"/>
  <c r="E273" i="1"/>
  <c r="M273" i="1"/>
  <c r="N273" i="1" s="1"/>
  <c r="J273" i="1"/>
  <c r="L273" i="1" s="1"/>
  <c r="M297" i="1" l="1"/>
  <c r="N297" i="1" s="1"/>
  <c r="J297" i="1"/>
  <c r="L297" i="1" s="1"/>
  <c r="M295" i="1"/>
  <c r="N295" i="1" s="1"/>
  <c r="J295" i="1"/>
  <c r="L295" i="1" s="1"/>
  <c r="E293" i="1"/>
  <c r="M293" i="1"/>
  <c r="N293" i="1" s="1"/>
  <c r="J293" i="1"/>
  <c r="L293" i="1" s="1"/>
  <c r="M291" i="1"/>
  <c r="N291" i="1" s="1"/>
  <c r="J291" i="1"/>
  <c r="L291" i="1" s="1"/>
  <c r="M290" i="1"/>
  <c r="N290" i="1" s="1"/>
  <c r="J290" i="1"/>
  <c r="L290" i="1" s="1"/>
  <c r="M289" i="1"/>
  <c r="N289" i="1" s="1"/>
  <c r="J289" i="1"/>
  <c r="L289" i="1" s="1"/>
  <c r="M287" i="1"/>
  <c r="N287" i="1" s="1"/>
  <c r="J287" i="1"/>
  <c r="L287" i="1" s="1"/>
  <c r="E285" i="1"/>
  <c r="M285" i="1"/>
  <c r="N285" i="1" s="1"/>
  <c r="J285" i="1"/>
  <c r="L285" i="1" s="1"/>
  <c r="E283" i="1"/>
  <c r="M283" i="1"/>
  <c r="N283" i="1" s="1"/>
  <c r="J283" i="1"/>
  <c r="L283" i="1" s="1"/>
  <c r="M281" i="1"/>
  <c r="N281" i="1" s="1"/>
  <c r="J281" i="1"/>
  <c r="L281" i="1" s="1"/>
  <c r="E279" i="1"/>
  <c r="M279" i="1"/>
  <c r="N279" i="1" s="1"/>
  <c r="J279" i="1"/>
  <c r="L279" i="1" s="1"/>
  <c r="E254" i="1"/>
  <c r="M254" i="1"/>
  <c r="N254" i="1" s="1"/>
  <c r="J254" i="1"/>
  <c r="L254" i="1" s="1"/>
  <c r="M253" i="1"/>
  <c r="N253" i="1" s="1"/>
  <c r="J253" i="1"/>
  <c r="L253" i="1" s="1"/>
  <c r="M251" i="1"/>
  <c r="N251" i="1" s="1"/>
  <c r="J251" i="1"/>
  <c r="L251" i="1" s="1"/>
  <c r="M249" i="1"/>
  <c r="N249" i="1" s="1"/>
  <c r="J249" i="1"/>
  <c r="L249" i="1" s="1"/>
  <c r="E246" i="1"/>
  <c r="M246" i="1"/>
  <c r="N246" i="1" s="1"/>
  <c r="J246" i="1"/>
  <c r="L246" i="1" s="1"/>
  <c r="M245" i="1"/>
  <c r="N245" i="1" s="1"/>
  <c r="J245" i="1"/>
  <c r="L245" i="1" s="1"/>
  <c r="M243" i="1"/>
  <c r="N243" i="1" s="1"/>
  <c r="J243" i="1"/>
  <c r="L243" i="1" s="1"/>
  <c r="M242" i="1"/>
  <c r="N242" i="1" s="1"/>
  <c r="J242" i="1"/>
  <c r="L242" i="1" s="1"/>
  <c r="M241" i="1"/>
  <c r="N241" i="1" s="1"/>
  <c r="J241" i="1"/>
  <c r="L241" i="1" s="1"/>
  <c r="E238" i="1"/>
  <c r="M239" i="1"/>
  <c r="N239" i="1" s="1"/>
  <c r="J239" i="1"/>
  <c r="L239" i="1" s="1"/>
  <c r="M237" i="1"/>
  <c r="N237" i="1" s="1"/>
  <c r="J237" i="1"/>
  <c r="L237" i="1" s="1"/>
  <c r="J238" i="1"/>
  <c r="L238" i="1" s="1"/>
  <c r="M238" i="1"/>
  <c r="N238" i="1" s="1"/>
  <c r="E234" i="1"/>
  <c r="M235" i="1"/>
  <c r="N235" i="1" s="1"/>
  <c r="J235" i="1"/>
  <c r="L235" i="1" s="1"/>
  <c r="M212" i="1"/>
  <c r="N212" i="1" s="1"/>
  <c r="J212" i="1"/>
  <c r="L212" i="1" s="1"/>
  <c r="E210" i="1"/>
  <c r="M211" i="1"/>
  <c r="N211" i="1" s="1"/>
  <c r="J211" i="1"/>
  <c r="L211" i="1" s="1"/>
  <c r="E208" i="1"/>
  <c r="M209" i="1"/>
  <c r="N209" i="1" s="1"/>
  <c r="J209" i="1"/>
  <c r="L209" i="1" s="1"/>
  <c r="M207" i="1"/>
  <c r="N207" i="1" s="1"/>
  <c r="J207" i="1"/>
  <c r="L207" i="1" s="1"/>
  <c r="M206" i="1"/>
  <c r="N206" i="1" s="1"/>
  <c r="J206" i="1"/>
  <c r="L206" i="1" s="1"/>
  <c r="M205" i="1"/>
  <c r="N205" i="1" s="1"/>
  <c r="J205" i="1"/>
  <c r="L205" i="1" s="1"/>
  <c r="E202" i="1"/>
  <c r="M203" i="1"/>
  <c r="N203" i="1" s="1"/>
  <c r="J203" i="1"/>
  <c r="L203" i="1" s="1"/>
  <c r="M165" i="1"/>
  <c r="N165" i="1" s="1"/>
  <c r="J165" i="1"/>
  <c r="L165" i="1" s="1"/>
  <c r="L295" i="3"/>
  <c r="K295" i="3"/>
  <c r="J295" i="3"/>
  <c r="L278" i="3"/>
  <c r="K278" i="3"/>
  <c r="J278" i="3"/>
  <c r="L272" i="3"/>
  <c r="K272" i="3"/>
  <c r="J272" i="3"/>
  <c r="L271" i="3"/>
  <c r="K271" i="3"/>
  <c r="J271" i="3"/>
  <c r="L269" i="3"/>
  <c r="K269" i="3"/>
  <c r="J269" i="3"/>
  <c r="L268" i="3"/>
  <c r="K268" i="3"/>
  <c r="J268" i="3"/>
  <c r="L267" i="3"/>
  <c r="K267" i="3"/>
  <c r="J267" i="3"/>
  <c r="L265" i="3"/>
  <c r="K265" i="3"/>
  <c r="J265" i="3"/>
  <c r="L263" i="3"/>
  <c r="K263" i="3"/>
  <c r="J263" i="3"/>
  <c r="L262" i="3"/>
  <c r="K262" i="3"/>
  <c r="J262" i="3"/>
  <c r="L261" i="3"/>
  <c r="K261" i="3"/>
  <c r="J261" i="3"/>
  <c r="L260" i="3"/>
  <c r="K260" i="3"/>
  <c r="J260" i="3"/>
  <c r="L259" i="3"/>
  <c r="K259" i="3"/>
  <c r="J259" i="3"/>
  <c r="L258" i="3"/>
  <c r="K258" i="3"/>
  <c r="J258" i="3"/>
  <c r="L257" i="3"/>
  <c r="K257" i="3"/>
  <c r="J257" i="3"/>
  <c r="L256" i="3"/>
  <c r="K256" i="3"/>
  <c r="J256" i="3"/>
  <c r="L255" i="3"/>
  <c r="K255" i="3"/>
  <c r="J255" i="3"/>
  <c r="L254" i="3"/>
  <c r="K254" i="3"/>
  <c r="J254" i="3"/>
  <c r="L253" i="3"/>
  <c r="K253" i="3"/>
  <c r="J253" i="3"/>
  <c r="L252" i="3"/>
  <c r="K252" i="3"/>
  <c r="J252" i="3"/>
  <c r="L251" i="3"/>
  <c r="K251" i="3"/>
  <c r="J251" i="3"/>
  <c r="L250" i="3"/>
  <c r="K250" i="3"/>
  <c r="J250" i="3"/>
  <c r="L249" i="3"/>
  <c r="K249" i="3"/>
  <c r="J249" i="3"/>
  <c r="L248" i="3"/>
  <c r="K248" i="3"/>
  <c r="J248" i="3"/>
  <c r="L247" i="3"/>
  <c r="K247" i="3"/>
  <c r="J247" i="3"/>
  <c r="L245" i="3"/>
  <c r="K245" i="3"/>
  <c r="J245" i="3"/>
  <c r="L244" i="3"/>
  <c r="K244" i="3"/>
  <c r="J244" i="3"/>
  <c r="L242" i="3"/>
  <c r="K242" i="3"/>
  <c r="J242" i="3"/>
  <c r="L241" i="3"/>
  <c r="K241" i="3"/>
  <c r="J241" i="3"/>
  <c r="L240" i="3"/>
  <c r="K240" i="3"/>
  <c r="J240" i="3"/>
  <c r="L239" i="3"/>
  <c r="K239" i="3"/>
  <c r="J239" i="3"/>
  <c r="L230" i="3"/>
  <c r="K230" i="3"/>
  <c r="J230" i="3"/>
  <c r="L229" i="3"/>
  <c r="M229" i="3" s="1"/>
  <c r="K229" i="3"/>
  <c r="L228" i="3"/>
  <c r="K228" i="3"/>
  <c r="J228" i="3"/>
  <c r="L227" i="3"/>
  <c r="K227" i="3"/>
  <c r="J227" i="3"/>
  <c r="L226" i="3"/>
  <c r="K226" i="3"/>
  <c r="J226" i="3"/>
  <c r="L225" i="3"/>
  <c r="K225" i="3"/>
  <c r="J225" i="3"/>
  <c r="L224" i="3"/>
  <c r="K224" i="3"/>
  <c r="J224" i="3"/>
  <c r="L223" i="3"/>
  <c r="K223" i="3"/>
  <c r="J223" i="3"/>
  <c r="L222" i="3"/>
  <c r="K222" i="3"/>
  <c r="J222" i="3"/>
  <c r="L221" i="3"/>
  <c r="K221" i="3"/>
  <c r="J221" i="3"/>
  <c r="L220" i="3"/>
  <c r="K220" i="3"/>
  <c r="J220" i="3"/>
  <c r="G220" i="3"/>
  <c r="L216" i="3"/>
  <c r="M216" i="3" s="1"/>
  <c r="K216" i="3"/>
  <c r="G216" i="3"/>
  <c r="L215" i="3"/>
  <c r="K215" i="3"/>
  <c r="J215" i="3"/>
  <c r="G215" i="3"/>
  <c r="L214" i="3"/>
  <c r="K214" i="3"/>
  <c r="J214" i="3"/>
  <c r="L213" i="3"/>
  <c r="K213" i="3"/>
  <c r="J213" i="3"/>
  <c r="G213" i="3"/>
  <c r="L212" i="3"/>
  <c r="K212" i="3"/>
  <c r="J212" i="3"/>
  <c r="L211" i="3"/>
  <c r="K211" i="3"/>
  <c r="J211" i="3"/>
  <c r="L210" i="3"/>
  <c r="K210" i="3"/>
  <c r="J210" i="3"/>
  <c r="L205" i="3"/>
  <c r="K205" i="3"/>
  <c r="J205" i="3"/>
  <c r="L204" i="3"/>
  <c r="K204" i="3"/>
  <c r="J204" i="3"/>
  <c r="L199" i="3"/>
  <c r="K199" i="3"/>
  <c r="J199" i="3"/>
  <c r="G199" i="3"/>
  <c r="G188" i="3"/>
  <c r="L184" i="3"/>
  <c r="K184" i="3"/>
  <c r="J184" i="3"/>
  <c r="L183" i="3"/>
  <c r="K183" i="3"/>
  <c r="J183" i="3"/>
  <c r="L182" i="3"/>
  <c r="K182" i="3"/>
  <c r="J182" i="3"/>
  <c r="G182" i="3"/>
  <c r="G173" i="3"/>
  <c r="L169" i="3"/>
  <c r="K169" i="3"/>
  <c r="J169" i="3"/>
  <c r="G164" i="3"/>
  <c r="G163" i="3"/>
  <c r="G154" i="3"/>
  <c r="L148" i="3"/>
  <c r="K148" i="3"/>
  <c r="J148" i="3"/>
  <c r="L147" i="3"/>
  <c r="K147" i="3"/>
  <c r="J147" i="3"/>
  <c r="G143" i="3"/>
  <c r="G142" i="3"/>
  <c r="L137" i="3"/>
  <c r="K137" i="3"/>
  <c r="J137" i="3"/>
  <c r="L130" i="3"/>
  <c r="K130" i="3"/>
  <c r="J130" i="3"/>
  <c r="G125" i="3"/>
  <c r="L113" i="3"/>
  <c r="K113" i="3"/>
  <c r="J113" i="3"/>
  <c r="L107" i="3"/>
  <c r="K107" i="3"/>
  <c r="J107" i="3"/>
  <c r="L106" i="3"/>
  <c r="K106" i="3"/>
  <c r="J106" i="3"/>
  <c r="G106" i="3"/>
  <c r="L105" i="3"/>
  <c r="K105" i="3"/>
  <c r="J105" i="3"/>
  <c r="L102" i="3"/>
  <c r="K102" i="3"/>
  <c r="J102" i="3"/>
  <c r="L88" i="3"/>
  <c r="K88" i="3"/>
  <c r="J88" i="3"/>
  <c r="L86" i="3"/>
  <c r="K86" i="3"/>
  <c r="J86" i="3"/>
  <c r="L84" i="3"/>
  <c r="K84" i="3"/>
  <c r="J84" i="3"/>
  <c r="L83" i="3"/>
  <c r="K83" i="3"/>
  <c r="J83" i="3"/>
  <c r="L82" i="3"/>
  <c r="K82" i="3"/>
  <c r="J82" i="3"/>
  <c r="L81" i="3"/>
  <c r="K81" i="3"/>
  <c r="J81" i="3"/>
  <c r="G80" i="3"/>
  <c r="G78" i="3"/>
  <c r="L72" i="3"/>
  <c r="K72" i="3"/>
  <c r="J72" i="3"/>
  <c r="L70" i="3"/>
  <c r="K70" i="3"/>
  <c r="J70" i="3"/>
  <c r="L69" i="3"/>
  <c r="K69" i="3"/>
  <c r="J69" i="3"/>
  <c r="L68" i="3"/>
  <c r="K68" i="3"/>
  <c r="J68" i="3"/>
  <c r="L61" i="3"/>
  <c r="K61" i="3"/>
  <c r="J61" i="3"/>
  <c r="L60" i="3"/>
  <c r="K60" i="3"/>
  <c r="J60" i="3"/>
  <c r="L59" i="3"/>
  <c r="K59" i="3"/>
  <c r="J59" i="3"/>
  <c r="L58" i="3"/>
  <c r="K58" i="3"/>
  <c r="J58" i="3"/>
  <c r="L57" i="3"/>
  <c r="K57" i="3"/>
  <c r="J57" i="3"/>
  <c r="L55" i="3"/>
  <c r="K55" i="3"/>
  <c r="J55" i="3"/>
  <c r="L54" i="3"/>
  <c r="K54" i="3"/>
  <c r="J54" i="3"/>
  <c r="L53" i="3"/>
  <c r="K53" i="3"/>
  <c r="J53" i="3"/>
  <c r="L52" i="3"/>
  <c r="K52" i="3"/>
  <c r="J52" i="3"/>
  <c r="L51" i="3"/>
  <c r="K51" i="3"/>
  <c r="J51" i="3"/>
  <c r="L50" i="3"/>
  <c r="K50" i="3"/>
  <c r="J50" i="3"/>
  <c r="L49" i="3"/>
  <c r="K49" i="3"/>
  <c r="J49" i="3"/>
  <c r="L48" i="3"/>
  <c r="K48" i="3"/>
  <c r="J48" i="3"/>
  <c r="L47" i="3"/>
  <c r="K47" i="3"/>
  <c r="J47" i="3"/>
  <c r="L46" i="3"/>
  <c r="K46" i="3"/>
  <c r="J46" i="3"/>
  <c r="L45" i="3"/>
  <c r="K45" i="3"/>
  <c r="J45" i="3"/>
  <c r="L44" i="3"/>
  <c r="K44" i="3"/>
  <c r="J44" i="3"/>
  <c r="L43" i="3"/>
  <c r="K43" i="3"/>
  <c r="J43" i="3"/>
  <c r="L42" i="3"/>
  <c r="K42" i="3"/>
  <c r="J42" i="3"/>
  <c r="L41" i="3"/>
  <c r="K41" i="3"/>
  <c r="J41" i="3"/>
  <c r="L40" i="3"/>
  <c r="K40" i="3"/>
  <c r="J40" i="3"/>
  <c r="L39" i="3"/>
  <c r="K39" i="3"/>
  <c r="J39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L33" i="3"/>
  <c r="K33" i="3"/>
  <c r="J33" i="3"/>
  <c r="L32" i="3"/>
  <c r="K32" i="3"/>
  <c r="J32" i="3"/>
  <c r="L30" i="3"/>
  <c r="K30" i="3"/>
  <c r="J30" i="3"/>
  <c r="L27" i="3"/>
  <c r="K27" i="3"/>
  <c r="J27" i="3"/>
  <c r="L26" i="3"/>
  <c r="K26" i="3"/>
  <c r="J26" i="3"/>
  <c r="L25" i="3"/>
  <c r="K25" i="3"/>
  <c r="J25" i="3"/>
  <c r="L23" i="3"/>
  <c r="K23" i="3"/>
  <c r="J23" i="3"/>
  <c r="L22" i="3"/>
  <c r="K22" i="3"/>
  <c r="J22" i="3"/>
  <c r="L21" i="3"/>
  <c r="K21" i="3"/>
  <c r="J21" i="3"/>
  <c r="L20" i="3"/>
  <c r="K20" i="3"/>
  <c r="J20" i="3"/>
  <c r="G20" i="3"/>
  <c r="L17" i="3"/>
  <c r="K17" i="3"/>
  <c r="J17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L6" i="3"/>
  <c r="K6" i="3"/>
  <c r="J6" i="3"/>
  <c r="M110" i="2"/>
  <c r="L110" i="2"/>
  <c r="K110" i="2"/>
  <c r="M109" i="2"/>
  <c r="N109" i="2" s="1"/>
  <c r="L109" i="2"/>
  <c r="K109" i="2"/>
  <c r="M108" i="2"/>
  <c r="N108" i="2" s="1"/>
  <c r="L108" i="2"/>
  <c r="K108" i="2"/>
  <c r="M107" i="2"/>
  <c r="N107" i="2" s="1"/>
  <c r="L107" i="2"/>
  <c r="K107" i="2"/>
  <c r="M106" i="2"/>
  <c r="N106" i="2" s="1"/>
  <c r="L106" i="2"/>
  <c r="K106" i="2"/>
  <c r="M105" i="2"/>
  <c r="N105" i="2" s="1"/>
  <c r="L105" i="2"/>
  <c r="K105" i="2"/>
  <c r="M104" i="2"/>
  <c r="L104" i="2"/>
  <c r="K104" i="2"/>
  <c r="M103" i="2"/>
  <c r="N103" i="2" s="1"/>
  <c r="L103" i="2"/>
  <c r="K103" i="2"/>
  <c r="M102" i="2"/>
  <c r="N102" i="2" s="1"/>
  <c r="L102" i="2"/>
  <c r="K102" i="2"/>
  <c r="N101" i="2"/>
  <c r="M101" i="2"/>
  <c r="L101" i="2"/>
  <c r="K101" i="2"/>
  <c r="M100" i="2"/>
  <c r="N100" i="2" s="1"/>
  <c r="L100" i="2"/>
  <c r="K100" i="2"/>
  <c r="M99" i="2"/>
  <c r="N99" i="2" s="1"/>
  <c r="L99" i="2"/>
  <c r="K99" i="2"/>
  <c r="M98" i="2"/>
  <c r="N98" i="2" s="1"/>
  <c r="L98" i="2"/>
  <c r="K98" i="2"/>
  <c r="M97" i="2"/>
  <c r="N97" i="2" s="1"/>
  <c r="L97" i="2"/>
  <c r="K97" i="2"/>
  <c r="M96" i="2"/>
  <c r="N96" i="2" s="1"/>
  <c r="L96" i="2"/>
  <c r="K96" i="2"/>
  <c r="N95" i="2"/>
  <c r="M95" i="2"/>
  <c r="L95" i="2"/>
  <c r="K95" i="2"/>
  <c r="M94" i="2"/>
  <c r="N94" i="2" s="1"/>
  <c r="L94" i="2"/>
  <c r="K94" i="2"/>
  <c r="M93" i="2"/>
  <c r="N93" i="2" s="1"/>
  <c r="L93" i="2"/>
  <c r="K93" i="2"/>
  <c r="M92" i="2"/>
  <c r="L92" i="2"/>
  <c r="K92" i="2"/>
  <c r="M91" i="2"/>
  <c r="N91" i="2" s="1"/>
  <c r="L91" i="2"/>
  <c r="M90" i="2"/>
  <c r="N90" i="2" s="1"/>
  <c r="L90" i="2"/>
  <c r="K90" i="2"/>
  <c r="M89" i="2"/>
  <c r="N89" i="2" s="1"/>
  <c r="L89" i="2"/>
  <c r="K89" i="2"/>
  <c r="M88" i="2"/>
  <c r="N88" i="2" s="1"/>
  <c r="L88" i="2"/>
  <c r="K88" i="2"/>
  <c r="M87" i="2"/>
  <c r="L87" i="2"/>
  <c r="K87" i="2"/>
  <c r="M86" i="2"/>
  <c r="N86" i="2" s="1"/>
  <c r="L86" i="2"/>
  <c r="K86" i="2"/>
  <c r="M85" i="2"/>
  <c r="N85" i="2" s="1"/>
  <c r="L85" i="2"/>
  <c r="K85" i="2"/>
  <c r="M84" i="2"/>
  <c r="N84" i="2" s="1"/>
  <c r="L84" i="2"/>
  <c r="K84" i="2"/>
  <c r="M83" i="2"/>
  <c r="N83" i="2" s="1"/>
  <c r="L83" i="2"/>
  <c r="K83" i="2"/>
  <c r="M82" i="2"/>
  <c r="N82" i="2" s="1"/>
  <c r="L82" i="2"/>
  <c r="K82" i="2"/>
  <c r="M81" i="2"/>
  <c r="N81" i="2" s="1"/>
  <c r="L81" i="2"/>
  <c r="K81" i="2"/>
  <c r="M80" i="2"/>
  <c r="N80" i="2" s="1"/>
  <c r="L80" i="2"/>
  <c r="K80" i="2"/>
  <c r="M79" i="2"/>
  <c r="N79" i="2" s="1"/>
  <c r="L79" i="2"/>
  <c r="K79" i="2"/>
  <c r="M78" i="2"/>
  <c r="N78" i="2" s="1"/>
  <c r="L78" i="2"/>
  <c r="K78" i="2"/>
  <c r="M77" i="2"/>
  <c r="N77" i="2" s="1"/>
  <c r="L77" i="2"/>
  <c r="K77" i="2"/>
  <c r="M76" i="2"/>
  <c r="N76" i="2" s="1"/>
  <c r="L76" i="2"/>
  <c r="K76" i="2"/>
  <c r="M75" i="2"/>
  <c r="L75" i="2"/>
  <c r="K75" i="2"/>
  <c r="M74" i="2"/>
  <c r="N74" i="2" s="1"/>
  <c r="L74" i="2"/>
  <c r="K74" i="2"/>
  <c r="M73" i="2"/>
  <c r="N73" i="2" s="1"/>
  <c r="L73" i="2"/>
  <c r="K73" i="2"/>
  <c r="M72" i="2"/>
  <c r="N72" i="2" s="1"/>
  <c r="L72" i="2"/>
  <c r="K72" i="2"/>
  <c r="M71" i="2"/>
  <c r="N71" i="2" s="1"/>
  <c r="L71" i="2"/>
  <c r="K71" i="2"/>
  <c r="M70" i="2"/>
  <c r="L70" i="2"/>
  <c r="K70" i="2"/>
  <c r="M69" i="2"/>
  <c r="L69" i="2"/>
  <c r="K69" i="2"/>
  <c r="M68" i="2"/>
  <c r="N68" i="2" s="1"/>
  <c r="L68" i="2"/>
  <c r="K68" i="2"/>
  <c r="M67" i="2"/>
  <c r="L67" i="2"/>
  <c r="K67" i="2"/>
  <c r="M66" i="2"/>
  <c r="L66" i="2"/>
  <c r="K66" i="2"/>
  <c r="M65" i="2"/>
  <c r="N65" i="2" s="1"/>
  <c r="L65" i="2"/>
  <c r="K65" i="2"/>
  <c r="M64" i="2"/>
  <c r="L64" i="2"/>
  <c r="K64" i="2"/>
  <c r="M63" i="2"/>
  <c r="N63" i="2" s="1"/>
  <c r="L63" i="2"/>
  <c r="K63" i="2"/>
  <c r="M62" i="2"/>
  <c r="L62" i="2"/>
  <c r="K62" i="2"/>
  <c r="M61" i="2"/>
  <c r="N61" i="2" s="1"/>
  <c r="L61" i="2"/>
  <c r="K61" i="2"/>
  <c r="M60" i="2"/>
  <c r="L60" i="2"/>
  <c r="K60" i="2"/>
  <c r="M59" i="2"/>
  <c r="N59" i="2" s="1"/>
  <c r="L59" i="2"/>
  <c r="K59" i="2"/>
  <c r="M58" i="2"/>
  <c r="L58" i="2"/>
  <c r="K58" i="2"/>
  <c r="M57" i="2"/>
  <c r="L57" i="2"/>
  <c r="K57" i="2"/>
  <c r="M56" i="2"/>
  <c r="L56" i="2"/>
  <c r="K56" i="2"/>
  <c r="M55" i="2"/>
  <c r="N55" i="2" s="1"/>
  <c r="L55" i="2"/>
  <c r="K55" i="2"/>
  <c r="M54" i="2"/>
  <c r="L54" i="2"/>
  <c r="K54" i="2"/>
  <c r="M53" i="2"/>
  <c r="N53" i="2" s="1"/>
  <c r="L53" i="2"/>
  <c r="K53" i="2"/>
  <c r="M52" i="2"/>
  <c r="L52" i="2"/>
  <c r="K52" i="2"/>
  <c r="M51" i="2"/>
  <c r="L51" i="2"/>
  <c r="K51" i="2"/>
  <c r="M50" i="2"/>
  <c r="L50" i="2"/>
  <c r="K50" i="2"/>
  <c r="M49" i="2"/>
  <c r="N49" i="2" s="1"/>
  <c r="L49" i="2"/>
  <c r="K49" i="2"/>
  <c r="M48" i="2"/>
  <c r="N48" i="2" s="1"/>
  <c r="L48" i="2"/>
  <c r="K48" i="2"/>
  <c r="M47" i="2"/>
  <c r="N47" i="2" s="1"/>
  <c r="L47" i="2"/>
  <c r="K47" i="2"/>
  <c r="M46" i="2"/>
  <c r="L46" i="2"/>
  <c r="K46" i="2"/>
  <c r="M45" i="2"/>
  <c r="N45" i="2" s="1"/>
  <c r="L45" i="2"/>
  <c r="K45" i="2"/>
  <c r="M44" i="2"/>
  <c r="L44" i="2"/>
  <c r="K44" i="2"/>
  <c r="M43" i="2"/>
  <c r="N43" i="2" s="1"/>
  <c r="L43" i="2"/>
  <c r="K43" i="2"/>
  <c r="M41" i="2"/>
  <c r="N41" i="2" s="1"/>
  <c r="L41" i="2"/>
  <c r="K41" i="2"/>
  <c r="M40" i="2"/>
  <c r="N40" i="2" s="1"/>
  <c r="L40" i="2"/>
  <c r="K40" i="2"/>
  <c r="M39" i="2"/>
  <c r="L39" i="2"/>
  <c r="K39" i="2"/>
  <c r="M38" i="2"/>
  <c r="L38" i="2"/>
  <c r="K38" i="2"/>
  <c r="M37" i="2"/>
  <c r="N37" i="2" s="1"/>
  <c r="L37" i="2"/>
  <c r="K37" i="2"/>
  <c r="M36" i="2"/>
  <c r="N36" i="2" s="1"/>
  <c r="L36" i="2"/>
  <c r="K36" i="2"/>
  <c r="N35" i="2"/>
  <c r="M35" i="2"/>
  <c r="L35" i="2"/>
  <c r="K35" i="2"/>
  <c r="M34" i="2"/>
  <c r="L34" i="2"/>
  <c r="K3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N11" i="2" s="1"/>
  <c r="L11" i="2"/>
  <c r="K11" i="2"/>
  <c r="M10" i="2"/>
  <c r="L10" i="2"/>
  <c r="K10" i="2"/>
  <c r="M9" i="2"/>
  <c r="L9" i="2"/>
  <c r="K9" i="2"/>
  <c r="Q8" i="2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M8" i="2"/>
  <c r="N8" i="2" s="1"/>
  <c r="L8" i="2"/>
  <c r="K8" i="2"/>
  <c r="Q7" i="2"/>
  <c r="M7" i="2"/>
  <c r="L7" i="2"/>
  <c r="K7" i="2"/>
  <c r="M6" i="2"/>
  <c r="L6" i="2"/>
  <c r="K6" i="2"/>
  <c r="K300" i="1"/>
  <c r="M298" i="1"/>
  <c r="N298" i="1" s="1"/>
  <c r="J298" i="1"/>
  <c r="L298" i="1" s="1"/>
  <c r="L300" i="1" s="1"/>
  <c r="M296" i="1"/>
  <c r="N296" i="1" s="1"/>
  <c r="J296" i="1"/>
  <c r="L296" i="1" s="1"/>
  <c r="M294" i="1"/>
  <c r="N294" i="1" s="1"/>
  <c r="J294" i="1"/>
  <c r="L294" i="1" s="1"/>
  <c r="M292" i="1"/>
  <c r="N292" i="1" s="1"/>
  <c r="J292" i="1"/>
  <c r="L292" i="1" s="1"/>
  <c r="M288" i="1"/>
  <c r="N288" i="1" s="1"/>
  <c r="J288" i="1"/>
  <c r="L288" i="1" s="1"/>
  <c r="M286" i="1"/>
  <c r="N286" i="1" s="1"/>
  <c r="J286" i="1"/>
  <c r="L286" i="1" s="1"/>
  <c r="M284" i="1"/>
  <c r="N284" i="1" s="1"/>
  <c r="J284" i="1"/>
  <c r="L284" i="1" s="1"/>
  <c r="M282" i="1"/>
  <c r="N282" i="1" s="1"/>
  <c r="J282" i="1"/>
  <c r="L282" i="1" s="1"/>
  <c r="M280" i="1"/>
  <c r="N280" i="1" s="1"/>
  <c r="J280" i="1"/>
  <c r="L280" i="1" s="1"/>
  <c r="M278" i="1"/>
  <c r="N278" i="1" s="1"/>
  <c r="J278" i="1"/>
  <c r="L278" i="1" s="1"/>
  <c r="M277" i="1"/>
  <c r="N277" i="1" s="1"/>
  <c r="J277" i="1"/>
  <c r="L277" i="1" s="1"/>
  <c r="E277" i="1"/>
  <c r="M276" i="1"/>
  <c r="N276" i="1" s="1"/>
  <c r="J276" i="1"/>
  <c r="L276" i="1" s="1"/>
  <c r="M275" i="1"/>
  <c r="N275" i="1" s="1"/>
  <c r="J275" i="1"/>
  <c r="L275" i="1" s="1"/>
  <c r="M274" i="1"/>
  <c r="N274" i="1" s="1"/>
  <c r="J274" i="1"/>
  <c r="L274" i="1" s="1"/>
  <c r="M272" i="1"/>
  <c r="N272" i="1" s="1"/>
  <c r="J272" i="1"/>
  <c r="L272" i="1" s="1"/>
  <c r="M271" i="1"/>
  <c r="N271" i="1" s="1"/>
  <c r="J271" i="1"/>
  <c r="L271" i="1" s="1"/>
  <c r="M268" i="1"/>
  <c r="N268" i="1" s="1"/>
  <c r="J268" i="1"/>
  <c r="L268" i="1" s="1"/>
  <c r="E268" i="1"/>
  <c r="M267" i="1"/>
  <c r="N267" i="1" s="1"/>
  <c r="J267" i="1"/>
  <c r="L267" i="1" s="1"/>
  <c r="M266" i="1"/>
  <c r="N266" i="1" s="1"/>
  <c r="J266" i="1"/>
  <c r="L266" i="1" s="1"/>
  <c r="M265" i="1"/>
  <c r="N265" i="1" s="1"/>
  <c r="J265" i="1"/>
  <c r="L265" i="1" s="1"/>
  <c r="M264" i="1"/>
  <c r="N264" i="1" s="1"/>
  <c r="J264" i="1"/>
  <c r="L264" i="1" s="1"/>
  <c r="E264" i="1"/>
  <c r="M263" i="1"/>
  <c r="N263" i="1" s="1"/>
  <c r="J263" i="1"/>
  <c r="L263" i="1" s="1"/>
  <c r="M262" i="1"/>
  <c r="N262" i="1" s="1"/>
  <c r="J262" i="1"/>
  <c r="L262" i="1" s="1"/>
  <c r="M261" i="1"/>
  <c r="N261" i="1" s="1"/>
  <c r="J261" i="1"/>
  <c r="L261" i="1" s="1"/>
  <c r="M260" i="1"/>
  <c r="N260" i="1" s="1"/>
  <c r="J260" i="1"/>
  <c r="L260" i="1" s="1"/>
  <c r="M259" i="1"/>
  <c r="N259" i="1" s="1"/>
  <c r="J259" i="1"/>
  <c r="L259" i="1" s="1"/>
  <c r="M258" i="1"/>
  <c r="N258" i="1" s="1"/>
  <c r="J258" i="1"/>
  <c r="L258" i="1" s="1"/>
  <c r="E258" i="1"/>
  <c r="M257" i="1"/>
  <c r="N257" i="1" s="1"/>
  <c r="J257" i="1"/>
  <c r="L257" i="1" s="1"/>
  <c r="M256" i="1"/>
  <c r="N256" i="1" s="1"/>
  <c r="J256" i="1"/>
  <c r="L256" i="1" s="1"/>
  <c r="E256" i="1"/>
  <c r="M255" i="1"/>
  <c r="N255" i="1" s="1"/>
  <c r="J255" i="1"/>
  <c r="L255" i="1" s="1"/>
  <c r="M252" i="1"/>
  <c r="N252" i="1" s="1"/>
  <c r="J252" i="1"/>
  <c r="L252" i="1" s="1"/>
  <c r="M250" i="1"/>
  <c r="N250" i="1" s="1"/>
  <c r="J250" i="1"/>
  <c r="L250" i="1" s="1"/>
  <c r="M248" i="1"/>
  <c r="N248" i="1" s="1"/>
  <c r="J248" i="1"/>
  <c r="L248" i="1" s="1"/>
  <c r="M247" i="1"/>
  <c r="N247" i="1" s="1"/>
  <c r="J247" i="1"/>
  <c r="L247" i="1" s="1"/>
  <c r="M244" i="1"/>
  <c r="N244" i="1" s="1"/>
  <c r="J244" i="1"/>
  <c r="L244" i="1" s="1"/>
  <c r="M240" i="1"/>
  <c r="N240" i="1" s="1"/>
  <c r="J240" i="1"/>
  <c r="L240" i="1" s="1"/>
  <c r="M236" i="1"/>
  <c r="N236" i="1" s="1"/>
  <c r="J236" i="1"/>
  <c r="L236" i="1" s="1"/>
  <c r="M234" i="1"/>
  <c r="N234" i="1" s="1"/>
  <c r="J234" i="1"/>
  <c r="L234" i="1" s="1"/>
  <c r="M233" i="1"/>
  <c r="N233" i="1" s="1"/>
  <c r="J233" i="1"/>
  <c r="L233" i="1" s="1"/>
  <c r="M232" i="1"/>
  <c r="N232" i="1" s="1"/>
  <c r="J232" i="1"/>
  <c r="L232" i="1" s="1"/>
  <c r="E232" i="1"/>
  <c r="M231" i="1"/>
  <c r="N231" i="1" s="1"/>
  <c r="J231" i="1"/>
  <c r="L231" i="1" s="1"/>
  <c r="M230" i="1"/>
  <c r="N230" i="1" s="1"/>
  <c r="J230" i="1"/>
  <c r="L230" i="1" s="1"/>
  <c r="M229" i="1"/>
  <c r="N229" i="1" s="1"/>
  <c r="J229" i="1"/>
  <c r="L229" i="1" s="1"/>
  <c r="M228" i="1"/>
  <c r="N228" i="1" s="1"/>
  <c r="J228" i="1"/>
  <c r="L228" i="1" s="1"/>
  <c r="M227" i="1"/>
  <c r="N227" i="1" s="1"/>
  <c r="J227" i="1"/>
  <c r="L227" i="1" s="1"/>
  <c r="M226" i="1"/>
  <c r="N226" i="1" s="1"/>
  <c r="J226" i="1"/>
  <c r="L226" i="1" s="1"/>
  <c r="M225" i="1"/>
  <c r="N225" i="1" s="1"/>
  <c r="J225" i="1"/>
  <c r="L225" i="1" s="1"/>
  <c r="M224" i="1"/>
  <c r="N224" i="1" s="1"/>
  <c r="J224" i="1"/>
  <c r="L224" i="1" s="1"/>
  <c r="M223" i="1"/>
  <c r="N223" i="1" s="1"/>
  <c r="J223" i="1"/>
  <c r="L223" i="1" s="1"/>
  <c r="M222" i="1"/>
  <c r="N222" i="1" s="1"/>
  <c r="J222" i="1"/>
  <c r="L222" i="1" s="1"/>
  <c r="M221" i="1"/>
  <c r="N221" i="1" s="1"/>
  <c r="J221" i="1"/>
  <c r="L221" i="1" s="1"/>
  <c r="M220" i="1"/>
  <c r="N220" i="1" s="1"/>
  <c r="J220" i="1"/>
  <c r="L220" i="1" s="1"/>
  <c r="M219" i="1"/>
  <c r="N219" i="1" s="1"/>
  <c r="J219" i="1"/>
  <c r="L219" i="1" s="1"/>
  <c r="M218" i="1"/>
  <c r="N218" i="1" s="1"/>
  <c r="J218" i="1"/>
  <c r="L218" i="1" s="1"/>
  <c r="M217" i="1"/>
  <c r="N217" i="1" s="1"/>
  <c r="J217" i="1"/>
  <c r="L217" i="1" s="1"/>
  <c r="E217" i="1"/>
  <c r="E304" i="1" s="1"/>
  <c r="M216" i="1"/>
  <c r="N216" i="1" s="1"/>
  <c r="J216" i="1"/>
  <c r="L216" i="1" s="1"/>
  <c r="M215" i="1"/>
  <c r="N215" i="1" s="1"/>
  <c r="J215" i="1"/>
  <c r="L215" i="1" s="1"/>
  <c r="M214" i="1"/>
  <c r="N214" i="1" s="1"/>
  <c r="J214" i="1"/>
  <c r="L214" i="1" s="1"/>
  <c r="M213" i="1"/>
  <c r="N213" i="1" s="1"/>
  <c r="J213" i="1"/>
  <c r="L213" i="1" s="1"/>
  <c r="M210" i="1"/>
  <c r="N210" i="1" s="1"/>
  <c r="J210" i="1"/>
  <c r="L210" i="1" s="1"/>
  <c r="M208" i="1"/>
  <c r="N208" i="1" s="1"/>
  <c r="J208" i="1"/>
  <c r="L208" i="1" s="1"/>
  <c r="M204" i="1"/>
  <c r="N204" i="1" s="1"/>
  <c r="J204" i="1"/>
  <c r="L204" i="1" s="1"/>
  <c r="M202" i="1"/>
  <c r="N202" i="1" s="1"/>
  <c r="J202" i="1"/>
  <c r="L202" i="1" s="1"/>
  <c r="M201" i="1"/>
  <c r="N201" i="1" s="1"/>
  <c r="J201" i="1"/>
  <c r="L201" i="1" s="1"/>
  <c r="M200" i="1"/>
  <c r="N200" i="1" s="1"/>
  <c r="J200" i="1"/>
  <c r="L200" i="1" s="1"/>
  <c r="E200" i="1"/>
  <c r="M199" i="1"/>
  <c r="N199" i="1" s="1"/>
  <c r="J199" i="1"/>
  <c r="L199" i="1" s="1"/>
  <c r="M198" i="1"/>
  <c r="N198" i="1" s="1"/>
  <c r="J198" i="1"/>
  <c r="L198" i="1" s="1"/>
  <c r="M197" i="1"/>
  <c r="N197" i="1" s="1"/>
  <c r="J197" i="1"/>
  <c r="L197" i="1" s="1"/>
  <c r="M196" i="1"/>
  <c r="N196" i="1" s="1"/>
  <c r="J196" i="1"/>
  <c r="L196" i="1" s="1"/>
  <c r="M195" i="1"/>
  <c r="N195" i="1" s="1"/>
  <c r="J195" i="1"/>
  <c r="L195" i="1" s="1"/>
  <c r="M194" i="1"/>
  <c r="N194" i="1" s="1"/>
  <c r="J194" i="1"/>
  <c r="L194" i="1" s="1"/>
  <c r="M193" i="1"/>
  <c r="N193" i="1" s="1"/>
  <c r="J193" i="1"/>
  <c r="L193" i="1" s="1"/>
  <c r="M192" i="1"/>
  <c r="N192" i="1" s="1"/>
  <c r="J192" i="1"/>
  <c r="L192" i="1" s="1"/>
  <c r="M191" i="1"/>
  <c r="N191" i="1" s="1"/>
  <c r="J191" i="1"/>
  <c r="L191" i="1" s="1"/>
  <c r="M190" i="1"/>
  <c r="N190" i="1" s="1"/>
  <c r="J190" i="1"/>
  <c r="L190" i="1" s="1"/>
  <c r="M189" i="1"/>
  <c r="N189" i="1" s="1"/>
  <c r="J189" i="1"/>
  <c r="L189" i="1" s="1"/>
  <c r="M188" i="1"/>
  <c r="N188" i="1" s="1"/>
  <c r="J188" i="1"/>
  <c r="L188" i="1" s="1"/>
  <c r="E188" i="1"/>
  <c r="M187" i="1"/>
  <c r="N187" i="1" s="1"/>
  <c r="J187" i="1"/>
  <c r="L187" i="1" s="1"/>
  <c r="M186" i="1"/>
  <c r="N186" i="1" s="1"/>
  <c r="J186" i="1"/>
  <c r="L186" i="1" s="1"/>
  <c r="M185" i="1"/>
  <c r="N185" i="1" s="1"/>
  <c r="J185" i="1"/>
  <c r="L185" i="1" s="1"/>
  <c r="M184" i="1"/>
  <c r="N184" i="1" s="1"/>
  <c r="J184" i="1"/>
  <c r="L184" i="1" s="1"/>
  <c r="E184" i="1"/>
  <c r="M183" i="1"/>
  <c r="N183" i="1" s="1"/>
  <c r="J183" i="1"/>
  <c r="L183" i="1" s="1"/>
  <c r="M182" i="1"/>
  <c r="N182" i="1" s="1"/>
  <c r="J182" i="1"/>
  <c r="L182" i="1" s="1"/>
  <c r="M181" i="1"/>
  <c r="N181" i="1" s="1"/>
  <c r="J181" i="1"/>
  <c r="L181" i="1" s="1"/>
  <c r="M180" i="1"/>
  <c r="N180" i="1" s="1"/>
  <c r="J180" i="1"/>
  <c r="L180" i="1" s="1"/>
  <c r="M179" i="1"/>
  <c r="N179" i="1" s="1"/>
  <c r="J179" i="1"/>
  <c r="L179" i="1" s="1"/>
  <c r="M178" i="1"/>
  <c r="N178" i="1" s="1"/>
  <c r="J178" i="1"/>
  <c r="L178" i="1" s="1"/>
  <c r="M177" i="1"/>
  <c r="N177" i="1" s="1"/>
  <c r="J177" i="1"/>
  <c r="L177" i="1" s="1"/>
  <c r="M176" i="1"/>
  <c r="N176" i="1" s="1"/>
  <c r="J176" i="1"/>
  <c r="L176" i="1" s="1"/>
  <c r="M175" i="1"/>
  <c r="N175" i="1" s="1"/>
  <c r="J175" i="1"/>
  <c r="L175" i="1" s="1"/>
  <c r="M174" i="1"/>
  <c r="N174" i="1" s="1"/>
  <c r="J174" i="1"/>
  <c r="L174" i="1" s="1"/>
  <c r="M173" i="1"/>
  <c r="N173" i="1" s="1"/>
  <c r="J173" i="1"/>
  <c r="L173" i="1" s="1"/>
  <c r="M172" i="1"/>
  <c r="N172" i="1" s="1"/>
  <c r="J172" i="1"/>
  <c r="L172" i="1" s="1"/>
  <c r="M171" i="1"/>
  <c r="N171" i="1" s="1"/>
  <c r="J171" i="1"/>
  <c r="L171" i="1" s="1"/>
  <c r="E171" i="1"/>
  <c r="M170" i="1"/>
  <c r="N170" i="1" s="1"/>
  <c r="J170" i="1"/>
  <c r="L170" i="1" s="1"/>
  <c r="M169" i="1"/>
  <c r="N169" i="1" s="1"/>
  <c r="J169" i="1"/>
  <c r="L169" i="1" s="1"/>
  <c r="M168" i="1"/>
  <c r="N168" i="1" s="1"/>
  <c r="J168" i="1"/>
  <c r="L168" i="1" s="1"/>
  <c r="M167" i="1"/>
  <c r="N167" i="1" s="1"/>
  <c r="J167" i="1"/>
  <c r="L167" i="1" s="1"/>
  <c r="E167" i="1"/>
  <c r="M166" i="1"/>
  <c r="N166" i="1" s="1"/>
  <c r="J166" i="1"/>
  <c r="L166" i="1" s="1"/>
  <c r="M164" i="1"/>
  <c r="N164" i="1" s="1"/>
  <c r="J164" i="1"/>
  <c r="L164" i="1" s="1"/>
  <c r="M163" i="1"/>
  <c r="N163" i="1" s="1"/>
  <c r="J163" i="1"/>
  <c r="L163" i="1" s="1"/>
  <c r="M162" i="1"/>
  <c r="N162" i="1" s="1"/>
  <c r="J162" i="1"/>
  <c r="L162" i="1" s="1"/>
  <c r="E162" i="1"/>
  <c r="M161" i="1"/>
  <c r="N161" i="1" s="1"/>
  <c r="J161" i="1"/>
  <c r="L161" i="1" s="1"/>
  <c r="M160" i="1"/>
  <c r="N160" i="1" s="1"/>
  <c r="J160" i="1"/>
  <c r="L160" i="1" s="1"/>
  <c r="E160" i="1"/>
  <c r="M159" i="1"/>
  <c r="N159" i="1" s="1"/>
  <c r="J159" i="1"/>
  <c r="L159" i="1" s="1"/>
  <c r="M156" i="1"/>
  <c r="N156" i="1" s="1"/>
  <c r="J156" i="1"/>
  <c r="L156" i="1" s="1"/>
  <c r="M155" i="1"/>
  <c r="N155" i="1" s="1"/>
  <c r="J155" i="1"/>
  <c r="L155" i="1" s="1"/>
  <c r="M154" i="1"/>
  <c r="N154" i="1" s="1"/>
  <c r="J154" i="1"/>
  <c r="L154" i="1" s="1"/>
  <c r="E154" i="1"/>
  <c r="M153" i="1"/>
  <c r="N153" i="1" s="1"/>
  <c r="J153" i="1"/>
  <c r="L153" i="1" s="1"/>
  <c r="M152" i="1"/>
  <c r="N152" i="1" s="1"/>
  <c r="J152" i="1"/>
  <c r="L152" i="1" s="1"/>
  <c r="M151" i="1"/>
  <c r="N151" i="1" s="1"/>
  <c r="J151" i="1"/>
  <c r="L151" i="1" s="1"/>
  <c r="M150" i="1"/>
  <c r="N150" i="1" s="1"/>
  <c r="J150" i="1"/>
  <c r="L150" i="1" s="1"/>
  <c r="M149" i="1"/>
  <c r="N149" i="1" s="1"/>
  <c r="J149" i="1"/>
  <c r="L149" i="1" s="1"/>
  <c r="M148" i="1"/>
  <c r="N148" i="1" s="1"/>
  <c r="J148" i="1"/>
  <c r="L148" i="1" s="1"/>
  <c r="M147" i="1"/>
  <c r="N147" i="1" s="1"/>
  <c r="J147" i="1"/>
  <c r="L147" i="1" s="1"/>
  <c r="M146" i="1"/>
  <c r="N146" i="1" s="1"/>
  <c r="J146" i="1"/>
  <c r="L146" i="1" s="1"/>
  <c r="M145" i="1"/>
  <c r="N145" i="1" s="1"/>
  <c r="J145" i="1"/>
  <c r="L145" i="1" s="1"/>
  <c r="M144" i="1"/>
  <c r="N144" i="1" s="1"/>
  <c r="J144" i="1"/>
  <c r="L144" i="1" s="1"/>
  <c r="E144" i="1"/>
  <c r="M143" i="1"/>
  <c r="N143" i="1" s="1"/>
  <c r="J143" i="1"/>
  <c r="L143" i="1" s="1"/>
  <c r="M142" i="1"/>
  <c r="N142" i="1" s="1"/>
  <c r="J142" i="1"/>
  <c r="L142" i="1" s="1"/>
  <c r="E142" i="1"/>
  <c r="M141" i="1"/>
  <c r="N141" i="1" s="1"/>
  <c r="J141" i="1"/>
  <c r="L141" i="1" s="1"/>
  <c r="M140" i="1"/>
  <c r="N140" i="1" s="1"/>
  <c r="J140" i="1"/>
  <c r="L140" i="1" s="1"/>
  <c r="M139" i="1"/>
  <c r="N139" i="1" s="1"/>
  <c r="J139" i="1"/>
  <c r="L139" i="1" s="1"/>
  <c r="M138" i="1"/>
  <c r="N138" i="1" s="1"/>
  <c r="J138" i="1"/>
  <c r="L138" i="1" s="1"/>
  <c r="E138" i="1"/>
  <c r="M137" i="1"/>
  <c r="N137" i="1" s="1"/>
  <c r="J137" i="1"/>
  <c r="L137" i="1" s="1"/>
  <c r="M135" i="1"/>
  <c r="N135" i="1" s="1"/>
  <c r="J135" i="1"/>
  <c r="L135" i="1" s="1"/>
  <c r="M134" i="1"/>
  <c r="N134" i="1" s="1"/>
  <c r="J134" i="1"/>
  <c r="L134" i="1" s="1"/>
  <c r="M133" i="1"/>
  <c r="N133" i="1" s="1"/>
  <c r="J133" i="1"/>
  <c r="L133" i="1" s="1"/>
  <c r="M132" i="1"/>
  <c r="N132" i="1" s="1"/>
  <c r="J132" i="1"/>
  <c r="L132" i="1" s="1"/>
  <c r="M131" i="1"/>
  <c r="N131" i="1" s="1"/>
  <c r="J131" i="1"/>
  <c r="L131" i="1" s="1"/>
  <c r="M130" i="1"/>
  <c r="N130" i="1" s="1"/>
  <c r="J130" i="1"/>
  <c r="L130" i="1" s="1"/>
  <c r="M129" i="1"/>
  <c r="N129" i="1" s="1"/>
  <c r="J129" i="1"/>
  <c r="L129" i="1" s="1"/>
  <c r="M128" i="1"/>
  <c r="N128" i="1" s="1"/>
  <c r="J128" i="1"/>
  <c r="L128" i="1" s="1"/>
  <c r="E128" i="1"/>
  <c r="M127" i="1"/>
  <c r="N127" i="1" s="1"/>
  <c r="J127" i="1"/>
  <c r="L127" i="1" s="1"/>
  <c r="M126" i="1"/>
  <c r="N126" i="1" s="1"/>
  <c r="J126" i="1"/>
  <c r="L126" i="1" s="1"/>
  <c r="M125" i="1"/>
  <c r="N125" i="1" s="1"/>
  <c r="J125" i="1"/>
  <c r="L125" i="1" s="1"/>
  <c r="M124" i="1"/>
  <c r="N124" i="1" s="1"/>
  <c r="J124" i="1"/>
  <c r="L124" i="1" s="1"/>
  <c r="M123" i="1"/>
  <c r="N123" i="1" s="1"/>
  <c r="J123" i="1"/>
  <c r="L123" i="1" s="1"/>
  <c r="M122" i="1"/>
  <c r="N122" i="1" s="1"/>
  <c r="J122" i="1"/>
  <c r="L122" i="1" s="1"/>
  <c r="M121" i="1"/>
  <c r="N121" i="1" s="1"/>
  <c r="J121" i="1"/>
  <c r="L121" i="1" s="1"/>
  <c r="E121" i="1"/>
  <c r="M120" i="1"/>
  <c r="N120" i="1" s="1"/>
  <c r="J120" i="1"/>
  <c r="L120" i="1" s="1"/>
  <c r="M119" i="1"/>
  <c r="N119" i="1" s="1"/>
  <c r="J119" i="1"/>
  <c r="L119" i="1" s="1"/>
  <c r="E119" i="1"/>
  <c r="M118" i="1"/>
  <c r="N118" i="1" s="1"/>
  <c r="J118" i="1"/>
  <c r="L118" i="1" s="1"/>
  <c r="E118" i="1"/>
  <c r="M117" i="1"/>
  <c r="N117" i="1" s="1"/>
  <c r="J117" i="1"/>
  <c r="L117" i="1" s="1"/>
  <c r="M116" i="1"/>
  <c r="N116" i="1" s="1"/>
  <c r="J116" i="1"/>
  <c r="L116" i="1" s="1"/>
  <c r="M115" i="1"/>
  <c r="N115" i="1" s="1"/>
  <c r="J115" i="1"/>
  <c r="L115" i="1" s="1"/>
  <c r="M114" i="1"/>
  <c r="N114" i="1" s="1"/>
  <c r="J114" i="1"/>
  <c r="L114" i="1" s="1"/>
  <c r="M113" i="1"/>
  <c r="N113" i="1" s="1"/>
  <c r="J113" i="1"/>
  <c r="L113" i="1" s="1"/>
  <c r="M112" i="1"/>
  <c r="N112" i="1" s="1"/>
  <c r="J112" i="1"/>
  <c r="L112" i="1" s="1"/>
  <c r="M111" i="1"/>
  <c r="N111" i="1" s="1"/>
  <c r="J111" i="1"/>
  <c r="L111" i="1" s="1"/>
  <c r="M110" i="1"/>
  <c r="N110" i="1" s="1"/>
  <c r="J110" i="1"/>
  <c r="L110" i="1" s="1"/>
  <c r="M109" i="1"/>
  <c r="N109" i="1" s="1"/>
  <c r="J109" i="1"/>
  <c r="L109" i="1" s="1"/>
  <c r="M108" i="1"/>
  <c r="N108" i="1" s="1"/>
  <c r="J108" i="1"/>
  <c r="L108" i="1" s="1"/>
  <c r="E108" i="1"/>
  <c r="M107" i="1"/>
  <c r="N107" i="1" s="1"/>
  <c r="J107" i="1"/>
  <c r="L107" i="1" s="1"/>
  <c r="M106" i="1"/>
  <c r="N106" i="1" s="1"/>
  <c r="J106" i="1"/>
  <c r="L106" i="1" s="1"/>
  <c r="M105" i="1"/>
  <c r="N105" i="1" s="1"/>
  <c r="J105" i="1"/>
  <c r="L105" i="1" s="1"/>
  <c r="M104" i="1"/>
  <c r="N104" i="1" s="1"/>
  <c r="J104" i="1"/>
  <c r="L104" i="1" s="1"/>
  <c r="M103" i="1"/>
  <c r="N103" i="1" s="1"/>
  <c r="J103" i="1"/>
  <c r="L103" i="1" s="1"/>
  <c r="M102" i="1"/>
  <c r="N102" i="1" s="1"/>
  <c r="J102" i="1"/>
  <c r="L102" i="1" s="1"/>
  <c r="M101" i="1"/>
  <c r="N101" i="1" s="1"/>
  <c r="J101" i="1"/>
  <c r="L101" i="1" s="1"/>
  <c r="M100" i="1"/>
  <c r="N100" i="1" s="1"/>
  <c r="J100" i="1"/>
  <c r="L100" i="1" s="1"/>
  <c r="M99" i="1"/>
  <c r="N99" i="1" s="1"/>
  <c r="J99" i="1"/>
  <c r="L99" i="1" s="1"/>
  <c r="M98" i="1"/>
  <c r="N98" i="1" s="1"/>
  <c r="J98" i="1"/>
  <c r="L98" i="1" s="1"/>
  <c r="M97" i="1"/>
  <c r="N97" i="1" s="1"/>
  <c r="J97" i="1"/>
  <c r="L97" i="1" s="1"/>
  <c r="M96" i="1"/>
  <c r="N96" i="1" s="1"/>
  <c r="J96" i="1"/>
  <c r="L96" i="1" s="1"/>
  <c r="M95" i="1"/>
  <c r="N95" i="1" s="1"/>
  <c r="J95" i="1"/>
  <c r="L95" i="1" s="1"/>
  <c r="M94" i="1"/>
  <c r="N94" i="1" s="1"/>
  <c r="J94" i="1"/>
  <c r="L94" i="1" s="1"/>
  <c r="M93" i="1"/>
  <c r="N93" i="1" s="1"/>
  <c r="J93" i="1"/>
  <c r="L93" i="1" s="1"/>
  <c r="M92" i="1"/>
  <c r="N92" i="1" s="1"/>
  <c r="J92" i="1"/>
  <c r="L92" i="1" s="1"/>
  <c r="M91" i="1"/>
  <c r="N91" i="1" s="1"/>
  <c r="J91" i="1"/>
  <c r="L91" i="1" s="1"/>
  <c r="E91" i="1"/>
  <c r="M90" i="1"/>
  <c r="N90" i="1" s="1"/>
  <c r="J90" i="1"/>
  <c r="L90" i="1" s="1"/>
  <c r="M89" i="1"/>
  <c r="N89" i="1" s="1"/>
  <c r="J89" i="1"/>
  <c r="L89" i="1" s="1"/>
  <c r="M88" i="1"/>
  <c r="N88" i="1" s="1"/>
  <c r="J88" i="1"/>
  <c r="L88" i="1" s="1"/>
  <c r="M87" i="1"/>
  <c r="N87" i="1" s="1"/>
  <c r="J87" i="1"/>
  <c r="L87" i="1" s="1"/>
  <c r="E87" i="1"/>
  <c r="M86" i="1"/>
  <c r="N86" i="1" s="1"/>
  <c r="J86" i="1"/>
  <c r="L86" i="1" s="1"/>
  <c r="M85" i="1"/>
  <c r="N85" i="1" s="1"/>
  <c r="J85" i="1"/>
  <c r="L85" i="1" s="1"/>
  <c r="E85" i="1"/>
  <c r="M84" i="1"/>
  <c r="N84" i="1" s="1"/>
  <c r="J84" i="1"/>
  <c r="L84" i="1" s="1"/>
  <c r="M83" i="1"/>
  <c r="N83" i="1" s="1"/>
  <c r="J83" i="1"/>
  <c r="L83" i="1" s="1"/>
  <c r="M82" i="1"/>
  <c r="N82" i="1" s="1"/>
  <c r="J82" i="1"/>
  <c r="L82" i="1" s="1"/>
  <c r="M81" i="1"/>
  <c r="N81" i="1" s="1"/>
  <c r="J81" i="1"/>
  <c r="L81" i="1" s="1"/>
  <c r="E81" i="1"/>
  <c r="M80" i="1"/>
  <c r="N80" i="1" s="1"/>
  <c r="J80" i="1"/>
  <c r="L80" i="1" s="1"/>
  <c r="M79" i="1"/>
  <c r="N79" i="1" s="1"/>
  <c r="J79" i="1"/>
  <c r="L79" i="1" s="1"/>
  <c r="M78" i="1"/>
  <c r="N78" i="1" s="1"/>
  <c r="J78" i="1"/>
  <c r="L78" i="1" s="1"/>
  <c r="M77" i="1"/>
  <c r="N77" i="1" s="1"/>
  <c r="J77" i="1"/>
  <c r="L77" i="1" s="1"/>
  <c r="E77" i="1"/>
  <c r="M76" i="1"/>
  <c r="N76" i="1" s="1"/>
  <c r="J76" i="1"/>
  <c r="L76" i="1" s="1"/>
  <c r="M75" i="1"/>
  <c r="N75" i="1" s="1"/>
  <c r="J75" i="1"/>
  <c r="L75" i="1" s="1"/>
  <c r="M74" i="1"/>
  <c r="N74" i="1" s="1"/>
  <c r="J74" i="1"/>
  <c r="L74" i="1" s="1"/>
  <c r="M73" i="1"/>
  <c r="N73" i="1" s="1"/>
  <c r="J73" i="1"/>
  <c r="L73" i="1" s="1"/>
  <c r="M72" i="1"/>
  <c r="N72" i="1" s="1"/>
  <c r="J72" i="1"/>
  <c r="L72" i="1" s="1"/>
  <c r="M71" i="1"/>
  <c r="N71" i="1" s="1"/>
  <c r="J71" i="1"/>
  <c r="L71" i="1" s="1"/>
  <c r="M70" i="1"/>
  <c r="N70" i="1" s="1"/>
  <c r="J70" i="1"/>
  <c r="L70" i="1" s="1"/>
  <c r="M69" i="1"/>
  <c r="N69" i="1" s="1"/>
  <c r="J69" i="1"/>
  <c r="L69" i="1" s="1"/>
  <c r="M68" i="1"/>
  <c r="N68" i="1" s="1"/>
  <c r="J68" i="1"/>
  <c r="L68" i="1" s="1"/>
  <c r="M67" i="1"/>
  <c r="N67" i="1" s="1"/>
  <c r="J67" i="1"/>
  <c r="L67" i="1" s="1"/>
  <c r="M66" i="1"/>
  <c r="N66" i="1" s="1"/>
  <c r="J66" i="1"/>
  <c r="L66" i="1" s="1"/>
  <c r="M65" i="1"/>
  <c r="N65" i="1" s="1"/>
  <c r="J65" i="1"/>
  <c r="L65" i="1" s="1"/>
  <c r="M64" i="1"/>
  <c r="N64" i="1" s="1"/>
  <c r="J64" i="1"/>
  <c r="L64" i="1" s="1"/>
  <c r="M63" i="1"/>
  <c r="N63" i="1" s="1"/>
  <c r="J63" i="1"/>
  <c r="L63" i="1" s="1"/>
  <c r="M62" i="1"/>
  <c r="N62" i="1" s="1"/>
  <c r="J62" i="1"/>
  <c r="L62" i="1" s="1"/>
  <c r="M61" i="1"/>
  <c r="N61" i="1" s="1"/>
  <c r="J61" i="1"/>
  <c r="L61" i="1" s="1"/>
  <c r="M60" i="1"/>
  <c r="N60" i="1" s="1"/>
  <c r="J60" i="1"/>
  <c r="L60" i="1" s="1"/>
  <c r="M59" i="1"/>
  <c r="N59" i="1" s="1"/>
  <c r="J59" i="1"/>
  <c r="L59" i="1" s="1"/>
  <c r="M58" i="1"/>
  <c r="N58" i="1" s="1"/>
  <c r="J58" i="1"/>
  <c r="L58" i="1" s="1"/>
  <c r="M57" i="1"/>
  <c r="N57" i="1" s="1"/>
  <c r="J57" i="1"/>
  <c r="L57" i="1" s="1"/>
  <c r="M56" i="1"/>
  <c r="N56" i="1" s="1"/>
  <c r="J56" i="1"/>
  <c r="L56" i="1" s="1"/>
  <c r="M55" i="1"/>
  <c r="N55" i="1" s="1"/>
  <c r="J55" i="1"/>
  <c r="L55" i="1" s="1"/>
  <c r="M54" i="1"/>
  <c r="N54" i="1" s="1"/>
  <c r="J54" i="1"/>
  <c r="L54" i="1" s="1"/>
  <c r="M53" i="1"/>
  <c r="N53" i="1" s="1"/>
  <c r="J53" i="1"/>
  <c r="L53" i="1" s="1"/>
  <c r="M52" i="1"/>
  <c r="N52" i="1" s="1"/>
  <c r="J52" i="1"/>
  <c r="L52" i="1" s="1"/>
  <c r="M51" i="1"/>
  <c r="N51" i="1" s="1"/>
  <c r="J51" i="1"/>
  <c r="L51" i="1" s="1"/>
  <c r="M50" i="1"/>
  <c r="N50" i="1" s="1"/>
  <c r="J50" i="1"/>
  <c r="L50" i="1" s="1"/>
  <c r="M49" i="1"/>
  <c r="N49" i="1" s="1"/>
  <c r="J49" i="1"/>
  <c r="L49" i="1" s="1"/>
  <c r="M48" i="1"/>
  <c r="N48" i="1" s="1"/>
  <c r="J48" i="1"/>
  <c r="L48" i="1" s="1"/>
  <c r="M47" i="1"/>
  <c r="N47" i="1" s="1"/>
  <c r="J47" i="1"/>
  <c r="L47" i="1" s="1"/>
  <c r="M46" i="1"/>
  <c r="N46" i="1" s="1"/>
  <c r="J46" i="1"/>
  <c r="L46" i="1" s="1"/>
  <c r="M45" i="1"/>
  <c r="N45" i="1" s="1"/>
  <c r="J45" i="1"/>
  <c r="L45" i="1" s="1"/>
  <c r="M44" i="1"/>
  <c r="N44" i="1" s="1"/>
  <c r="J44" i="1"/>
  <c r="L44" i="1" s="1"/>
  <c r="M43" i="1"/>
  <c r="N43" i="1" s="1"/>
  <c r="J43" i="1"/>
  <c r="L43" i="1" s="1"/>
  <c r="M42" i="1"/>
  <c r="N42" i="1" s="1"/>
  <c r="J42" i="1"/>
  <c r="L42" i="1" s="1"/>
  <c r="M41" i="1"/>
  <c r="N41" i="1" s="1"/>
  <c r="J41" i="1"/>
  <c r="L41" i="1" s="1"/>
  <c r="M40" i="1"/>
  <c r="N40" i="1" s="1"/>
  <c r="J40" i="1"/>
  <c r="L40" i="1" s="1"/>
  <c r="M39" i="1"/>
  <c r="N39" i="1" s="1"/>
  <c r="J39" i="1"/>
  <c r="L39" i="1" s="1"/>
  <c r="M38" i="1"/>
  <c r="N38" i="1" s="1"/>
  <c r="J38" i="1"/>
  <c r="L38" i="1" s="1"/>
  <c r="M37" i="1"/>
  <c r="N37" i="1" s="1"/>
  <c r="J37" i="1"/>
  <c r="L37" i="1" s="1"/>
  <c r="M36" i="1"/>
  <c r="N36" i="1" s="1"/>
  <c r="J36" i="1"/>
  <c r="L36" i="1" s="1"/>
  <c r="M35" i="1"/>
  <c r="N35" i="1" s="1"/>
  <c r="J35" i="1"/>
  <c r="L35" i="1" s="1"/>
  <c r="M34" i="1"/>
  <c r="N34" i="1" s="1"/>
  <c r="J34" i="1"/>
  <c r="L34" i="1" s="1"/>
  <c r="M33" i="1"/>
  <c r="N33" i="1" s="1"/>
  <c r="J33" i="1"/>
  <c r="L33" i="1" s="1"/>
  <c r="M32" i="1"/>
  <c r="N32" i="1" s="1"/>
  <c r="J32" i="1"/>
  <c r="L32" i="1" s="1"/>
  <c r="M31" i="1"/>
  <c r="N31" i="1" s="1"/>
  <c r="J31" i="1"/>
  <c r="L31" i="1" s="1"/>
  <c r="M30" i="1"/>
  <c r="N30" i="1" s="1"/>
  <c r="J30" i="1"/>
  <c r="L30" i="1" s="1"/>
  <c r="M29" i="1"/>
  <c r="N29" i="1" s="1"/>
  <c r="J29" i="1"/>
  <c r="L29" i="1" s="1"/>
  <c r="M28" i="1"/>
  <c r="N28" i="1" s="1"/>
  <c r="J28" i="1"/>
  <c r="L28" i="1" s="1"/>
  <c r="M27" i="1"/>
  <c r="N27" i="1" s="1"/>
  <c r="J27" i="1"/>
  <c r="L27" i="1" s="1"/>
  <c r="M26" i="1"/>
  <c r="N26" i="1" s="1"/>
  <c r="J26" i="1"/>
  <c r="L26" i="1" s="1"/>
  <c r="E26" i="1"/>
  <c r="M25" i="1"/>
  <c r="N25" i="1" s="1"/>
  <c r="J25" i="1"/>
  <c r="L25" i="1" s="1"/>
  <c r="M24" i="1"/>
  <c r="N24" i="1" s="1"/>
  <c r="J24" i="1"/>
  <c r="L24" i="1" s="1"/>
  <c r="M23" i="1"/>
  <c r="N23" i="1" s="1"/>
  <c r="J23" i="1"/>
  <c r="L23" i="1" s="1"/>
  <c r="M22" i="1"/>
  <c r="N22" i="1" s="1"/>
  <c r="J22" i="1"/>
  <c r="L22" i="1" s="1"/>
  <c r="E22" i="1"/>
  <c r="M21" i="1"/>
  <c r="N21" i="1" s="1"/>
  <c r="J21" i="1"/>
  <c r="L21" i="1" s="1"/>
  <c r="M20" i="1"/>
  <c r="N20" i="1" s="1"/>
  <c r="J20" i="1"/>
  <c r="L20" i="1" s="1"/>
  <c r="E20" i="1"/>
  <c r="M19" i="1"/>
  <c r="N19" i="1" s="1"/>
  <c r="J19" i="1"/>
  <c r="L19" i="1" s="1"/>
  <c r="M18" i="1"/>
  <c r="N18" i="1" s="1"/>
  <c r="J18" i="1"/>
  <c r="L18" i="1" s="1"/>
  <c r="E18" i="1"/>
  <c r="M17" i="1"/>
  <c r="N17" i="1" s="1"/>
  <c r="J17" i="1"/>
  <c r="L17" i="1" s="1"/>
  <c r="E17" i="1"/>
  <c r="M16" i="1"/>
  <c r="N16" i="1" s="1"/>
  <c r="J16" i="1"/>
  <c r="L16" i="1" s="1"/>
  <c r="E16" i="1"/>
  <c r="M15" i="1"/>
  <c r="N15" i="1" s="1"/>
  <c r="J15" i="1"/>
  <c r="L15" i="1" s="1"/>
  <c r="M14" i="1"/>
  <c r="N14" i="1" s="1"/>
  <c r="J14" i="1"/>
  <c r="L14" i="1" s="1"/>
  <c r="M13" i="1"/>
  <c r="N13" i="1" s="1"/>
  <c r="J13" i="1"/>
  <c r="L13" i="1" s="1"/>
  <c r="M12" i="1"/>
  <c r="N12" i="1" s="1"/>
  <c r="J12" i="1"/>
  <c r="L12" i="1" s="1"/>
  <c r="M11" i="1"/>
  <c r="N11" i="1" s="1"/>
  <c r="J11" i="1"/>
  <c r="L11" i="1" s="1"/>
  <c r="M295" i="3" l="1"/>
  <c r="M262" i="3"/>
  <c r="M271" i="3"/>
  <c r="F305" i="1"/>
  <c r="N300" i="1"/>
  <c r="N10" i="2"/>
  <c r="N17" i="2"/>
  <c r="N23" i="2"/>
  <c r="N27" i="2"/>
  <c r="N44" i="2"/>
  <c r="N46" i="2"/>
  <c r="N50" i="2"/>
  <c r="N54" i="2"/>
  <c r="N58" i="2"/>
  <c r="N62" i="2"/>
  <c r="N66" i="2"/>
  <c r="N70" i="2"/>
  <c r="N9" i="2"/>
  <c r="N12" i="2"/>
  <c r="N15" i="2"/>
  <c r="N21" i="2"/>
  <c r="N25" i="2"/>
  <c r="N29" i="2"/>
  <c r="N33" i="2"/>
  <c r="N39" i="2"/>
  <c r="N52" i="2"/>
  <c r="N56" i="2"/>
  <c r="N60" i="2"/>
  <c r="N64" i="2"/>
  <c r="N6" i="2"/>
  <c r="N16" i="2"/>
  <c r="N18" i="2"/>
  <c r="N20" i="2"/>
  <c r="N22" i="2"/>
  <c r="N24" i="2"/>
  <c r="N28" i="2"/>
  <c r="N30" i="2"/>
  <c r="N34" i="2"/>
  <c r="N67" i="2"/>
  <c r="D307" i="1"/>
  <c r="D309" i="1" s="1"/>
  <c r="M220" i="3"/>
  <c r="M226" i="3"/>
  <c r="M39" i="3"/>
  <c r="M43" i="3"/>
  <c r="M55" i="3"/>
  <c r="M37" i="3"/>
  <c r="M41" i="3"/>
  <c r="M49" i="3"/>
  <c r="M12" i="3"/>
  <c r="M17" i="3"/>
  <c r="M46" i="3"/>
  <c r="M239" i="3"/>
  <c r="M241" i="3"/>
  <c r="M244" i="3"/>
  <c r="M247" i="3"/>
  <c r="M259" i="3"/>
  <c r="M107" i="3"/>
  <c r="M22" i="3"/>
  <c r="M27" i="3"/>
  <c r="M210" i="3"/>
  <c r="M221" i="3"/>
  <c r="M225" i="3"/>
  <c r="M227" i="3"/>
  <c r="M250" i="3"/>
  <c r="M60" i="3"/>
  <c r="M40" i="3"/>
  <c r="M263" i="3"/>
  <c r="M9" i="3"/>
  <c r="M15" i="3"/>
  <c r="M21" i="3"/>
  <c r="M23" i="3"/>
  <c r="M48" i="3"/>
  <c r="M50" i="3"/>
  <c r="M52" i="3"/>
  <c r="M113" i="3"/>
  <c r="M147" i="3"/>
  <c r="M182" i="3"/>
  <c r="M184" i="3"/>
  <c r="M242" i="3"/>
  <c r="M278" i="3"/>
  <c r="M33" i="3"/>
  <c r="M58" i="3"/>
  <c r="M68" i="3"/>
  <c r="M83" i="3"/>
  <c r="M253" i="3"/>
  <c r="M261" i="3"/>
  <c r="M267" i="3"/>
  <c r="M32" i="3"/>
  <c r="M59" i="3"/>
  <c r="M86" i="3"/>
  <c r="M148" i="3"/>
  <c r="M183" i="3"/>
  <c r="M252" i="3"/>
  <c r="M254" i="3"/>
  <c r="M256" i="3"/>
  <c r="M6" i="3"/>
  <c r="M11" i="3"/>
  <c r="M45" i="3"/>
  <c r="M70" i="3"/>
  <c r="M230" i="3"/>
  <c r="M269" i="3"/>
  <c r="M30" i="3"/>
  <c r="M47" i="3"/>
  <c r="M72" i="3"/>
  <c r="M84" i="3"/>
  <c r="M169" i="3"/>
  <c r="M205" i="3"/>
  <c r="M224" i="3"/>
  <c r="M228" i="3"/>
  <c r="M34" i="3"/>
  <c r="M42" i="3"/>
  <c r="M51" i="3"/>
  <c r="M61" i="3"/>
  <c r="M105" i="3"/>
  <c r="M130" i="3"/>
  <c r="M137" i="3"/>
  <c r="M204" i="3"/>
  <c r="M214" i="3"/>
  <c r="M215" i="3"/>
  <c r="M223" i="3"/>
  <c r="M245" i="3"/>
  <c r="M255" i="3"/>
  <c r="M265" i="3"/>
  <c r="M13" i="3"/>
  <c r="M26" i="3"/>
  <c r="M36" i="3"/>
  <c r="M54" i="3"/>
  <c r="M81" i="3"/>
  <c r="M106" i="3"/>
  <c r="M211" i="3"/>
  <c r="M249" i="3"/>
  <c r="M258" i="3"/>
  <c r="M20" i="3"/>
  <c r="M38" i="3"/>
  <c r="M57" i="3"/>
  <c r="M199" i="3"/>
  <c r="M213" i="3"/>
  <c r="M222" i="3"/>
  <c r="M240" i="3"/>
  <c r="M251" i="3"/>
  <c r="M260" i="3"/>
  <c r="M272" i="3"/>
  <c r="M8" i="3"/>
  <c r="M10" i="3"/>
  <c r="M14" i="3"/>
  <c r="M25" i="3"/>
  <c r="M35" i="3"/>
  <c r="M44" i="3"/>
  <c r="M53" i="3"/>
  <c r="M69" i="3"/>
  <c r="M82" i="3"/>
  <c r="M88" i="3"/>
  <c r="M102" i="3"/>
  <c r="M212" i="3"/>
  <c r="M248" i="3"/>
  <c r="M257" i="3"/>
  <c r="M268" i="3"/>
  <c r="J300" i="1"/>
  <c r="N14" i="2"/>
  <c r="N51" i="2"/>
  <c r="N19" i="2"/>
  <c r="N104" i="2"/>
  <c r="N26" i="2"/>
  <c r="N38" i="2"/>
  <c r="N57" i="2"/>
  <c r="N75" i="2"/>
  <c r="N32" i="2"/>
  <c r="N69" i="2"/>
  <c r="N87" i="2"/>
  <c r="N7" i="2"/>
  <c r="N13" i="2"/>
  <c r="N31" i="2"/>
  <c r="N92" i="2"/>
  <c r="N110" i="2"/>
  <c r="E300" i="1"/>
  <c r="F306" i="1" l="1"/>
  <c r="N111" i="2"/>
  <c r="E307" i="1"/>
  <c r="E309" i="1" s="1"/>
  <c r="F304" i="1"/>
  <c r="F307" i="1" l="1"/>
  <c r="G306" i="1" s="1"/>
  <c r="G304" i="1" l="1"/>
  <c r="G305" i="1"/>
  <c r="G3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Т. Е. Гончаренко</author>
  </authors>
  <commentList>
    <comment ref="B44" authorId="0" shapeId="0" xr:uid="{05DDD97D-4A84-47EC-AC34-98A287FB5907}">
      <text>
        <r>
          <rPr>
            <b/>
            <sz val="9"/>
            <color indexed="81"/>
            <rFont val="Tahoma"/>
            <family val="2"/>
            <charset val="204"/>
          </rPr>
          <t>Т. Е. Гончаренко:</t>
        </r>
        <r>
          <rPr>
            <sz val="9"/>
            <color indexed="81"/>
            <rFont val="Tahoma"/>
            <family val="2"/>
            <charset val="204"/>
          </rPr>
          <t xml:space="preserve">
арбуз
</t>
        </r>
      </text>
    </comment>
    <comment ref="B45" authorId="0" shapeId="0" xr:uid="{7C40886A-2C11-44A1-99E1-96B0F1E29CB0}">
      <text>
        <r>
          <rPr>
            <b/>
            <sz val="9"/>
            <color indexed="81"/>
            <rFont val="Tahoma"/>
            <family val="2"/>
            <charset val="204"/>
          </rPr>
          <t>Т. Е. Гончаренко:</t>
        </r>
        <r>
          <rPr>
            <sz val="9"/>
            <color indexed="81"/>
            <rFont val="Tahoma"/>
            <family val="2"/>
            <charset val="204"/>
          </rPr>
          <t xml:space="preserve">
сейчас сиит элктики
</t>
        </r>
      </text>
    </comment>
  </commentList>
</comments>
</file>

<file path=xl/sharedStrings.xml><?xml version="1.0" encoding="utf-8"?>
<sst xmlns="http://schemas.openxmlformats.org/spreadsheetml/2006/main" count="1710" uniqueCount="801">
  <si>
    <t>текущий год</t>
  </si>
  <si>
    <t>№ п/п</t>
  </si>
  <si>
    <t>Наименование  подстанции подключения</t>
  </si>
  <si>
    <t>Номер фидера</t>
  </si>
  <si>
    <t>Напряжение кВ</t>
  </si>
  <si>
    <t>Длина км</t>
  </si>
  <si>
    <t>Способ прокладки (одноцепной ,двуцепной)</t>
  </si>
  <si>
    <t>Марка провода,кабеля ( мм2)</t>
  </si>
  <si>
    <t>Способ прокладки</t>
  </si>
  <si>
    <t>Год ввода в эксплуатацию</t>
  </si>
  <si>
    <t>Нормативный срок службы,</t>
  </si>
  <si>
    <t>Нормативный срок службы, лет</t>
  </si>
  <si>
    <t>Фактический срок службы, лет</t>
  </si>
  <si>
    <t>Износ %</t>
  </si>
  <si>
    <t>мес</t>
  </si>
  <si>
    <t>лет</t>
  </si>
  <si>
    <t>ТП 14-Горького 49</t>
  </si>
  <si>
    <t>АВВГнг(А)-LS 4х95</t>
  </si>
  <si>
    <t>траншея</t>
  </si>
  <si>
    <t>ТП 14-Островского 8а</t>
  </si>
  <si>
    <t>ААШВ 3х70</t>
  </si>
  <si>
    <t>коллектор</t>
  </si>
  <si>
    <t>ТП 14-Островского 8в</t>
  </si>
  <si>
    <t>траншея , подполье жилого дома</t>
  </si>
  <si>
    <t xml:space="preserve"> АВВГ 4х95 </t>
  </si>
  <si>
    <t>ТП 14-Островского 8г</t>
  </si>
  <si>
    <t>ТП 14-Островского 5</t>
  </si>
  <si>
    <t>пр1</t>
  </si>
  <si>
    <t>АВБШВ 3х185+1х95</t>
  </si>
  <si>
    <t>коллектор,эстакада</t>
  </si>
  <si>
    <t>пр2</t>
  </si>
  <si>
    <t>ТП-15-РУ-69</t>
  </si>
  <si>
    <t>ш.м.</t>
  </si>
  <si>
    <t>АВБШВ 4×150</t>
  </si>
  <si>
    <t xml:space="preserve">подполье жилого дома,эстакада </t>
  </si>
  <si>
    <t>ТП-15-Горького 36 (ПНС)</t>
  </si>
  <si>
    <t>ААБлГ 3×70</t>
  </si>
  <si>
    <t>ТП-15-Горького,32</t>
  </si>
  <si>
    <t xml:space="preserve">АВБбШв 4х95 </t>
  </si>
  <si>
    <t>РУ-69-Островского,1</t>
  </si>
  <si>
    <t>АВВГ 4х16</t>
  </si>
  <si>
    <t>эстакада</t>
  </si>
  <si>
    <t>РУ-69-Горького,36</t>
  </si>
  <si>
    <t>АВВБГ 3х35+1х16</t>
  </si>
  <si>
    <t>подполье жилого дома</t>
  </si>
  <si>
    <t>РУ-69-Горького,47,ВРУ(под.2)</t>
  </si>
  <si>
    <t>АВБбШв 4х95</t>
  </si>
  <si>
    <t xml:space="preserve"> РУ-69-Горького,47,ВРУ(под.5)</t>
  </si>
  <si>
    <t>ТП 63-Ленина16</t>
  </si>
  <si>
    <t>АВРБГ 3х50+1×25</t>
  </si>
  <si>
    <t>ТП 63-Ленина 18</t>
  </si>
  <si>
    <t>АВБШВ 4х95</t>
  </si>
  <si>
    <t>подполье жилого дома,траншея</t>
  </si>
  <si>
    <t>ТП 63-Островского 5а</t>
  </si>
  <si>
    <t>ПР,1</t>
  </si>
  <si>
    <t>АВВБГ 3х50+1х25</t>
  </si>
  <si>
    <t xml:space="preserve">траншея </t>
  </si>
  <si>
    <t xml:space="preserve"> ПР,2</t>
  </si>
  <si>
    <t>ААБлГ 3х95</t>
  </si>
  <si>
    <t>ТП 67-Андреев.5</t>
  </si>
  <si>
    <t>ААБлГ3х50+1х25</t>
  </si>
  <si>
    <t>подполье жилого дома,эстакда</t>
  </si>
  <si>
    <t>ТП 67-Андреев.3</t>
  </si>
  <si>
    <t>АВБШВ 3х50+1х25</t>
  </si>
  <si>
    <t>ТП 66-Горького 53(подъезд 2)</t>
  </si>
  <si>
    <t>ТП 66-Горького 53(подъезд 5)</t>
  </si>
  <si>
    <t>АВВБГ 4х35</t>
  </si>
  <si>
    <t>ТП 66-Горького 55</t>
  </si>
  <si>
    <t>АВРБГ 3х120+1х35</t>
  </si>
  <si>
    <t>ТП 66-Горького 55(не жилое помещение)</t>
  </si>
  <si>
    <t>АВРБГ 3х25+1х16</t>
  </si>
  <si>
    <t>ТП 66 -Горького 55(не жилое помещеие.)</t>
  </si>
  <si>
    <t>ААШВ 3х150</t>
  </si>
  <si>
    <t>ТП 66-Горького  57</t>
  </si>
  <si>
    <t>АВРБГ 3х50+1х25</t>
  </si>
  <si>
    <t>ТП 66-40 лет Победы 1</t>
  </si>
  <si>
    <t>ТП 66-40 лет Победы 3</t>
  </si>
  <si>
    <t>АВВБГ4х50</t>
  </si>
  <si>
    <t>ТП 73-Всесвятского 1</t>
  </si>
  <si>
    <t>АВРБГ 3х95+1х35</t>
  </si>
  <si>
    <t>ТП 73-Матросова 13</t>
  </si>
  <si>
    <t>АПВБГ 3х70+1х25</t>
  </si>
  <si>
    <t>ТП 73-Матросова 13а</t>
  </si>
  <si>
    <t>ВВГ 3х95+1х50</t>
  </si>
  <si>
    <t>ТП 73-Матросова 13б</t>
  </si>
  <si>
    <t>ТП 73-Матросова 14 ( управление)</t>
  </si>
  <si>
    <t>АВБШв 4х95</t>
  </si>
  <si>
    <t>АВБбШв 5х95</t>
  </si>
  <si>
    <t>ТП 74-Островскоо 12</t>
  </si>
  <si>
    <t>АВБШВ 3х70+1х25</t>
  </si>
  <si>
    <t>ТП 74-Матросова 9 ВРУ-подъезд 2</t>
  </si>
  <si>
    <t>АВБШВ 3×70+1×25</t>
  </si>
  <si>
    <t>ТП 74-Матросова 9 ВРУ-подъезд 5</t>
  </si>
  <si>
    <t>ТП 74-Матросова 11 а</t>
  </si>
  <si>
    <t>ТП 74-Матросова 11 б</t>
  </si>
  <si>
    <t>АВБШВ 3х35+1х10</t>
  </si>
  <si>
    <r>
      <t xml:space="preserve">ТП 75-Островского 11/1 </t>
    </r>
    <r>
      <rPr>
        <sz val="10"/>
        <color indexed="10"/>
        <rFont val="Arial"/>
        <family val="2"/>
        <charset val="204"/>
      </rPr>
      <t>(подъезд4)</t>
    </r>
  </si>
  <si>
    <t>КГ хл 3×35+1×16</t>
  </si>
  <si>
    <r>
      <t xml:space="preserve">ТП 75-Островского 11/1 </t>
    </r>
    <r>
      <rPr>
        <sz val="10"/>
        <color indexed="10"/>
        <rFont val="Arial"/>
        <family val="2"/>
        <charset val="204"/>
      </rPr>
      <t>(подъезд3)</t>
    </r>
  </si>
  <si>
    <t>АВВГ 3х50+1х16</t>
  </si>
  <si>
    <t>ТП 75-Островского 11/2</t>
  </si>
  <si>
    <t>ААШВ 3×50</t>
  </si>
  <si>
    <t>ТП 75-Островского 11 а</t>
  </si>
  <si>
    <t>АВБШВ3×95+1×50</t>
  </si>
  <si>
    <t>ТП 75-Матросова 7а</t>
  </si>
  <si>
    <t>ТП 75-Спортивная 19</t>
  </si>
  <si>
    <t>ТП 75- Спортивная 19 (ПНС)</t>
  </si>
  <si>
    <t>ТП 76-Матросова 3</t>
  </si>
  <si>
    <t>ТП 76-Матросова 3а</t>
  </si>
  <si>
    <t>ТП 76-Матросова 3б</t>
  </si>
  <si>
    <t>АВРБГ 3х70+1х25</t>
  </si>
  <si>
    <t>ТП 76-Матросова 5а</t>
  </si>
  <si>
    <t>АВРБГ 3х25+1х10</t>
  </si>
  <si>
    <t>ТП 76-Спортиная 17</t>
  </si>
  <si>
    <t>ТП-76-РУ-77</t>
  </si>
  <si>
    <t>ААШВ 3х95</t>
  </si>
  <si>
    <t>подполье жилого дома,троссовая растяжка</t>
  </si>
  <si>
    <t xml:space="preserve">РУ- 77-Матросова 1-подъезд 2 </t>
  </si>
  <si>
    <t>АВРБГ 3х95+1х50</t>
  </si>
  <si>
    <t xml:space="preserve">РУ- 77-Матросова 1-подъезд 3 </t>
  </si>
  <si>
    <t>ТП 79-Щорса 9</t>
  </si>
  <si>
    <t xml:space="preserve"> ВВБбШВ 4х50 </t>
  </si>
  <si>
    <t>ТП 79-Дудинская 9</t>
  </si>
  <si>
    <t>АВБШВ 3х150+1х50</t>
  </si>
  <si>
    <t>ТП 79-Островского15а</t>
  </si>
  <si>
    <t>АВВБГ 3х95+1х50</t>
  </si>
  <si>
    <t>ТП 79-Островского17</t>
  </si>
  <si>
    <t>АВБбШВ 3х95+1х35</t>
  </si>
  <si>
    <t>ТП 79-Островского19</t>
  </si>
  <si>
    <t>ААБлГ 4х150</t>
  </si>
  <si>
    <t xml:space="preserve">траншея, подполье жилого дома ,эстакада </t>
  </si>
  <si>
    <t>ТП 79-Спортивная 17а</t>
  </si>
  <si>
    <t>АВВБГ4х70</t>
  </si>
  <si>
    <t>ТП79- Спортивная 19 (ПНС)</t>
  </si>
  <si>
    <t xml:space="preserve"> АВБбШВ 4х70</t>
  </si>
  <si>
    <t>ТП 81-Дудинская 7</t>
  </si>
  <si>
    <t>АВБШВ 4х120</t>
  </si>
  <si>
    <t>ТП 81-Дудинская 7а</t>
  </si>
  <si>
    <t>АВБШВ 3х120+1х50</t>
  </si>
  <si>
    <t>ТП 81-Матросова 1 (ПНС)</t>
  </si>
  <si>
    <t>АВБбШВ 4х95</t>
  </si>
  <si>
    <t>ТП-81-РУ-78</t>
  </si>
  <si>
    <t>АВБШВ 3х185+1х70</t>
  </si>
  <si>
    <t>РУ 78-Дудинская 3</t>
  </si>
  <si>
    <t>АВРБГ3х70+1×25</t>
  </si>
  <si>
    <t>РУ 78-Щорса 3</t>
  </si>
  <si>
    <t>РУ 78-Щорса 5</t>
  </si>
  <si>
    <t>РУ 78 - Спортивная,3</t>
  </si>
  <si>
    <t>АВВГ 3х70+1х25</t>
  </si>
  <si>
    <t>ТП 82-Горького 45</t>
  </si>
  <si>
    <t>АВБШВ 3х150+1×35</t>
  </si>
  <si>
    <t xml:space="preserve">ТП 82-Горького 45а </t>
  </si>
  <si>
    <t>АВБШВ 3×150+1×50</t>
  </si>
  <si>
    <t>ТП 82-Матросова 2</t>
  </si>
  <si>
    <t>АВБШВ 3х95+1х35</t>
  </si>
  <si>
    <t>ТП 82-Матросова 2а</t>
  </si>
  <si>
    <t xml:space="preserve"> ААШВ 4*95</t>
  </si>
  <si>
    <t>ТП 82-Матросова 2б</t>
  </si>
  <si>
    <t>АПБШВ 3×120+1×50</t>
  </si>
  <si>
    <t>ТП 91(92)-Дудинская 1</t>
  </si>
  <si>
    <t>АВБбШв 4х150</t>
  </si>
  <si>
    <t xml:space="preserve">ТП 91(92)-Дудинская 1а </t>
  </si>
  <si>
    <t>ТП 91(92)-Щорса 1</t>
  </si>
  <si>
    <t xml:space="preserve"> ААШВ 4х95</t>
  </si>
  <si>
    <t>ТП 91(92)-Щорса 1а</t>
  </si>
  <si>
    <t>СБлГ 3х50+1х25</t>
  </si>
  <si>
    <t>ТП 91(92)-ТП-81</t>
  </si>
  <si>
    <t>ААШВУ 3х95</t>
  </si>
  <si>
    <t xml:space="preserve"> </t>
  </si>
  <si>
    <t>ТП 95-Матросова 8</t>
  </si>
  <si>
    <t>колектор, эстакада</t>
  </si>
  <si>
    <t>ТП 95-Матросова 8а</t>
  </si>
  <si>
    <t xml:space="preserve">колектор, эстакада, подполье жилого дома </t>
  </si>
  <si>
    <t>ТП 95-Матросова 10</t>
  </si>
  <si>
    <t>АВРБГ 3х70+1х35</t>
  </si>
  <si>
    <t>коллектор,подполье жилого дома</t>
  </si>
  <si>
    <t xml:space="preserve">ТП 95-Матросова 10а </t>
  </si>
  <si>
    <t>ААБлГ 3х120</t>
  </si>
  <si>
    <t>ТП 95-Матросова 10б</t>
  </si>
  <si>
    <t xml:space="preserve">ТП 95-Матросова 11 </t>
  </si>
  <si>
    <t>ААБлГ 3х150</t>
  </si>
  <si>
    <t xml:space="preserve">ТП 95-Матросова 12 </t>
  </si>
  <si>
    <t>ААБлГ 3х70</t>
  </si>
  <si>
    <t xml:space="preserve">ТП 95-Матросова 17 </t>
  </si>
  <si>
    <t>траншея,коллектор</t>
  </si>
  <si>
    <t>ТП 95-40 Лет Победы 5</t>
  </si>
  <si>
    <t>ТП 95-40 Лет Победы 5а</t>
  </si>
  <si>
    <t>ТП 95-Андреевой 7</t>
  </si>
  <si>
    <t>ТП 96-40  Лет Победы 2</t>
  </si>
  <si>
    <t>ВРБГ 3х50+1х25</t>
  </si>
  <si>
    <t>ТП 96-40  Лет Победы 2а</t>
  </si>
  <si>
    <t>ААШв 3х150</t>
  </si>
  <si>
    <t>ТП 96-40  Лет Победы 4</t>
  </si>
  <si>
    <t>ТП 96-40  Лет Победы 6</t>
  </si>
  <si>
    <t>ААШВ 3х120</t>
  </si>
  <si>
    <t>ТП 96-40  Лет Победы 6а</t>
  </si>
  <si>
    <t>ТП 96-Горького 63</t>
  </si>
  <si>
    <t>ТП 96-Горького 65</t>
  </si>
  <si>
    <t>АВВБГ 3х95+1х35</t>
  </si>
  <si>
    <t>ТП 96-Ленина 39</t>
  </si>
  <si>
    <t>ТП 107-Бегичева 4</t>
  </si>
  <si>
    <t xml:space="preserve">ААШВ 4х120 </t>
  </si>
  <si>
    <t>ТП 107-Бегичева 6</t>
  </si>
  <si>
    <t>ААШВ 4х95</t>
  </si>
  <si>
    <t>ТП 107-Горького 38</t>
  </si>
  <si>
    <t>ААШВ 3х185</t>
  </si>
  <si>
    <t>ТП 107-Горького 40</t>
  </si>
  <si>
    <t>АААШВ 3х185</t>
  </si>
  <si>
    <t>ТП 110-Бегичева 8</t>
  </si>
  <si>
    <t>АВВБГ 3Х120+1х70</t>
  </si>
  <si>
    <t>траншея,коллектор,подполье жилого дома</t>
  </si>
  <si>
    <t>ТП 110-Бегичева 10</t>
  </si>
  <si>
    <t>ТП 110-Бегичева 12</t>
  </si>
  <si>
    <t>АВВБГ 3х150+1х50</t>
  </si>
  <si>
    <t>ТП 110-Бегичева 14</t>
  </si>
  <si>
    <t>АВВБГ 3х150+1х70</t>
  </si>
  <si>
    <t>ТП 110-Горького 42</t>
  </si>
  <si>
    <t>АВВБГ 3х120+1×70</t>
  </si>
  <si>
    <t>эстакада,подполье жилого дома,траншея</t>
  </si>
  <si>
    <t>ТП 110-Горького 44</t>
  </si>
  <si>
    <t>ТП 110-Горького 46</t>
  </si>
  <si>
    <t>ТП 110-  ул.Бегичева 14 строение1 ( КНС 1БИС)</t>
  </si>
  <si>
    <t>эстакада,подполье жилого дома,коллектор</t>
  </si>
  <si>
    <t>ТП 112-Островского 18/1</t>
  </si>
  <si>
    <t>АСБГУ 3х120+1×50</t>
  </si>
  <si>
    <t>ТП 112-Островского 18/2</t>
  </si>
  <si>
    <t xml:space="preserve"> АВБбШв 4х95</t>
  </si>
  <si>
    <t>ТП 112-Островского 20/1</t>
  </si>
  <si>
    <t>АВВБГ 4х95+1х50</t>
  </si>
  <si>
    <t>ТП 112-Островского 20/2</t>
  </si>
  <si>
    <t>АВВБГ3х95+1х50</t>
  </si>
  <si>
    <t>ТП 112-Щорса 13</t>
  </si>
  <si>
    <t>АВБШВ 3х120+1х35</t>
  </si>
  <si>
    <t>ТП 113-Дудинская 11</t>
  </si>
  <si>
    <t>ВВШВ 4х150</t>
  </si>
  <si>
    <t>АРРГ 3х150+1х50</t>
  </si>
  <si>
    <t>ТП 113-Дудинская 13</t>
  </si>
  <si>
    <t>ААБлГ 3х185</t>
  </si>
  <si>
    <t>ТП 113-Щорса 17</t>
  </si>
  <si>
    <t xml:space="preserve"> замена по к.р в 2024 г</t>
  </si>
  <si>
    <t>ТП 113-Щорса 17а</t>
  </si>
  <si>
    <t>ТП 113-Щорса 17б</t>
  </si>
  <si>
    <t>ТП 114-Щорса 19</t>
  </si>
  <si>
    <t>ААШВ 4Х95</t>
  </si>
  <si>
    <t>ТП 114-Щорса 21</t>
  </si>
  <si>
    <t>АПВБШВ 3х185+1х50</t>
  </si>
  <si>
    <t>ТП 114-Щорса 21а</t>
  </si>
  <si>
    <t>АВБбШв 4х120</t>
  </si>
  <si>
    <t>ТП 114-Щорса 21б</t>
  </si>
  <si>
    <t xml:space="preserve"> АВБбШв 4х120</t>
  </si>
  <si>
    <t>подполье жилого дома, коллектор</t>
  </si>
  <si>
    <t>ТП 114-Строителей 10</t>
  </si>
  <si>
    <t>ААБпГУ 3х150</t>
  </si>
  <si>
    <t>ТП 116-Щорса 16</t>
  </si>
  <si>
    <t>АПВБШВ 4Х150</t>
  </si>
  <si>
    <t>ТП 117-Дудинская 19</t>
  </si>
  <si>
    <t>АВВГнг(A)- LS 4х95</t>
  </si>
  <si>
    <t>ТП 117-Дудинская 21</t>
  </si>
  <si>
    <t>ААБлГ 3х150+1х50</t>
  </si>
  <si>
    <t xml:space="preserve">подполье жилого дома, в канале </t>
  </si>
  <si>
    <t>ТП 117-Дудинская 23</t>
  </si>
  <si>
    <t>ТП 117-Линейная 21а</t>
  </si>
  <si>
    <t>ААБлГ3х150</t>
  </si>
  <si>
    <t>ТП 117-Линейная 23а</t>
  </si>
  <si>
    <t>ТП 117-Строителей 5/1</t>
  </si>
  <si>
    <t>траншея,подполье жилого дома,коллектор</t>
  </si>
  <si>
    <t>ТП 117-Строителей 5/2</t>
  </si>
  <si>
    <t>ТП 117- Дудинская 19(ПНС )</t>
  </si>
  <si>
    <t>ПР-1</t>
  </si>
  <si>
    <t>АВБШВ 4х50</t>
  </si>
  <si>
    <t>подполье жилого дома,коллектор</t>
  </si>
  <si>
    <t>ТП 118-Строителей 1</t>
  </si>
  <si>
    <t>ААБлГ 3Х185</t>
  </si>
  <si>
    <t>ТП 118-Строителей 3</t>
  </si>
  <si>
    <t>ААБлГ 3Х95</t>
  </si>
  <si>
    <t>ТП 118-Строителей 3а</t>
  </si>
  <si>
    <t>АВБбШв 3Х120+1Х70</t>
  </si>
  <si>
    <t>ТП 118-Щорса 23</t>
  </si>
  <si>
    <t>ААВБ 3х185</t>
  </si>
  <si>
    <t>ТП 118-Щорса 23а</t>
  </si>
  <si>
    <t xml:space="preserve">ААШВ 3х50 </t>
  </si>
  <si>
    <t>ТП 118-Щорса 23б</t>
  </si>
  <si>
    <t>ААБВ 3Х95+1х35</t>
  </si>
  <si>
    <t>ТП 120-Щорса 25а</t>
  </si>
  <si>
    <t>АВБбШВ 4Х95</t>
  </si>
  <si>
    <t>ТП 120-Щорса 29</t>
  </si>
  <si>
    <t>ААБлГ 3Х95+1Х35</t>
  </si>
  <si>
    <t>ТП 120-Щорса 31</t>
  </si>
  <si>
    <t>АВПБШВ 3Х120+1Х50</t>
  </si>
  <si>
    <t>ТП 120-Щорса 25 (ПНС)</t>
  </si>
  <si>
    <t>АВРБГ 3×70+1×35</t>
  </si>
  <si>
    <t>ТП 121-Щорса 33</t>
  </si>
  <si>
    <t>ТП 121-Щорса 35</t>
  </si>
  <si>
    <t>АВБбШВ 5Х95</t>
  </si>
  <si>
    <t>ТП 123-Щорса 37</t>
  </si>
  <si>
    <t>ААШВ 4х150</t>
  </si>
  <si>
    <t>АВБШВ 4х150</t>
  </si>
  <si>
    <t>ТП 123-Щорса 37/1</t>
  </si>
  <si>
    <t>ТП 123-Щорса 37/2</t>
  </si>
  <si>
    <t xml:space="preserve">ТП 123-Щорса 39 </t>
  </si>
  <si>
    <t>подполье жилого дома,коллектор,траншея</t>
  </si>
  <si>
    <t>ТП 123-Щорса 39/1</t>
  </si>
  <si>
    <t>ТП 145- Морозова 23 строение 1</t>
  </si>
  <si>
    <t>8,11,17,19,22</t>
  </si>
  <si>
    <t>ААБГ 3х95</t>
  </si>
  <si>
    <t>ТП 145-Морозова 23 строение2 (АБК)</t>
  </si>
  <si>
    <t>ТП -86(94) - ТП 191</t>
  </si>
  <si>
    <t xml:space="preserve"> ААШВУ 3×120</t>
  </si>
  <si>
    <t>ТП-86(94)- Горького,15</t>
  </si>
  <si>
    <t>ААШВ 3×185</t>
  </si>
  <si>
    <t xml:space="preserve">ТП-14(Островского,8б) </t>
  </si>
  <si>
    <t>9,12-РП-14</t>
  </si>
  <si>
    <t>ААШВ 3×150</t>
  </si>
  <si>
    <t xml:space="preserve">подполье ТП </t>
  </si>
  <si>
    <t>ТП-15(Островского,1)</t>
  </si>
  <si>
    <t>9,14-РП-14</t>
  </si>
  <si>
    <t>ААШВ 3×120</t>
  </si>
  <si>
    <t>коллетор,эстакада</t>
  </si>
  <si>
    <t>ТП-96(40 лет Победы,6)</t>
  </si>
  <si>
    <t>22,27-ГПП-27</t>
  </si>
  <si>
    <t>ТП-107(Бегичева,4)</t>
  </si>
  <si>
    <t xml:space="preserve">эстакада,подполье жилого дома </t>
  </si>
  <si>
    <t>ТП-110(Бегичева,12)</t>
  </si>
  <si>
    <t xml:space="preserve">эстакада,подполье жилого дома,коллектор </t>
  </si>
  <si>
    <t>ТП-114(Щорса,21)</t>
  </si>
  <si>
    <t>24,21-ГПП27</t>
  </si>
  <si>
    <t>ТП-113(Дудинская,11)</t>
  </si>
  <si>
    <t>ГПП 27-24,21(ТП-114)</t>
  </si>
  <si>
    <t>ААШВ 3×95</t>
  </si>
  <si>
    <t>ТП-112(Щорса,13)</t>
  </si>
  <si>
    <t>ГПП27, 22,27(ТП-113)</t>
  </si>
  <si>
    <t>ТП-95(Матросова,12)</t>
  </si>
  <si>
    <t xml:space="preserve"> ГПП27, 22,27(ТП-96)</t>
  </si>
  <si>
    <t>ААБлГ 3×95</t>
  </si>
  <si>
    <t xml:space="preserve">подполье жилого дома,троссовая растяжка ,коллектор </t>
  </si>
  <si>
    <t>ВСЕГО:</t>
  </si>
  <si>
    <t xml:space="preserve"> 6 кв. </t>
  </si>
  <si>
    <t>0,4кВ</t>
  </si>
  <si>
    <t xml:space="preserve"> Кабельные линии до 10 лет</t>
  </si>
  <si>
    <t xml:space="preserve"> Кабельные линии от 10  до 25 лет</t>
  </si>
  <si>
    <t xml:space="preserve"> Кабельные линии  свыше 25 лет</t>
  </si>
  <si>
    <t>ПЕРЕЧЕНЬ</t>
  </si>
  <si>
    <t>электрооборудования трансформаторных подстанций 6 кВ</t>
  </si>
  <si>
    <t>год</t>
  </si>
  <si>
    <t>Месяц последнего тех. освидетельствования</t>
  </si>
  <si>
    <t>Год последнего тех. освидетельствования</t>
  </si>
  <si>
    <t>Дата следующего тех. освидетельствования</t>
  </si>
  <si>
    <t>№ ТП</t>
  </si>
  <si>
    <t>Наименование оборудования</t>
  </si>
  <si>
    <t>Зав.№</t>
  </si>
  <si>
    <t>Кол-во оборудования</t>
  </si>
  <si>
    <t>1</t>
  </si>
  <si>
    <t>ТП-15</t>
  </si>
  <si>
    <t>ТП-15  Т-1 Силовой трансформатор ТМ-400/6</t>
  </si>
  <si>
    <t>ТП-15  Т-2 Силовой трансформатор ТМ-400/6</t>
  </si>
  <si>
    <t>ТП-15 выключатель нагрузки  ВНРз 10/400 с приводом ПР/З-10</t>
  </si>
  <si>
    <t xml:space="preserve">ТП-15 Разъединитель, РВ 10/400 с приводом ПР 10  </t>
  </si>
  <si>
    <t xml:space="preserve">ТП-15 Разъединитель, РВ 10/630 с приводом ПР 10  </t>
  </si>
  <si>
    <t>2</t>
  </si>
  <si>
    <t>ТП-28</t>
  </si>
  <si>
    <t>ПТП-28  Силовой трансформатор ТМ-320/6</t>
  </si>
  <si>
    <t xml:space="preserve">ПТП-28 Разъединитель, РВ 10/400 с приводом ПР 10  </t>
  </si>
  <si>
    <t>3</t>
  </si>
  <si>
    <t>06</t>
  </si>
  <si>
    <t>ТП-63</t>
  </si>
  <si>
    <t>ТП-63 Силовой трансформатор ТСЗ-400/6-У3</t>
  </si>
  <si>
    <t>0970</t>
  </si>
  <si>
    <t>04</t>
  </si>
  <si>
    <t>ТП-63 Разъединитель РВ-16 6/6000 с приводом ПР -10</t>
  </si>
  <si>
    <t>63/3, 63/4</t>
  </si>
  <si>
    <t>ТП-63 выключатель нагрузки  ВНП -16 6/400  с приводом  ПР -17</t>
  </si>
  <si>
    <t>63/1, 63/2</t>
  </si>
  <si>
    <t>4</t>
  </si>
  <si>
    <t>ТП-66</t>
  </si>
  <si>
    <t>ТП-66 Силовой трансформатор ТСЗ-400</t>
  </si>
  <si>
    <t>0969</t>
  </si>
  <si>
    <t>ТП-66 выключатель нагрузки  ВНП -16 6/400  с приводом  ПР -17</t>
  </si>
  <si>
    <t>5</t>
  </si>
  <si>
    <t>ТП-67</t>
  </si>
  <si>
    <t>ТП-67 Силовой трансформатор ТСЗ-400/6- У3</t>
  </si>
  <si>
    <t>1331</t>
  </si>
  <si>
    <t>ТП-67 выключатель нагрузки  ВНП -16 6/400  с приводом  ПР -17</t>
  </si>
  <si>
    <t>ТП-67 выключатель нагрузки  ВНП -17 6/400  с приводом  ПР -17</t>
  </si>
  <si>
    <t>6</t>
  </si>
  <si>
    <t>ТП-73</t>
  </si>
  <si>
    <t>ТП-73 Силовой трансформатор ТСЗ-400/6 -У3</t>
  </si>
  <si>
    <t>ТП-73 выключатель нагрузки  ВНП  -16 -6/400 с приводом ПР -17</t>
  </si>
  <si>
    <t>399, 4828</t>
  </si>
  <si>
    <t>ТП-73 разъединитель РВ3 -16 6/600 с приводом ПР-2</t>
  </si>
  <si>
    <t>73/1</t>
  </si>
  <si>
    <t>7</t>
  </si>
  <si>
    <t>ТП-74</t>
  </si>
  <si>
    <t>ТП-74 Силовой трансформатор ТСЗ-400/6 -У3</t>
  </si>
  <si>
    <t>ТП-74 выключатель нагрузки ВНП-16 6/400 с приводом ПР -16</t>
  </si>
  <si>
    <t>40463,0313,23482</t>
  </si>
  <si>
    <t>ТП-74 выключатель нагрузки ВНП-16 6/400 с приводом ПР -17</t>
  </si>
  <si>
    <t>ТП-74  Разъединитель РВ-16 6/600 с приводом ПР -10</t>
  </si>
  <si>
    <t>74/1</t>
  </si>
  <si>
    <t>8</t>
  </si>
  <si>
    <t>ТП-75</t>
  </si>
  <si>
    <t>ТП-75 Силовой трансформатор ТСЗ-400/6 -У3</t>
  </si>
  <si>
    <t>ТП-75 выключатель нагрузкиВНП-16 6/400 с приводом ПР -17</t>
  </si>
  <si>
    <t>75/1, 1980</t>
  </si>
  <si>
    <t>ТП-75 Разъединитель РВ-16 6/600 с приводом ПР -10</t>
  </si>
  <si>
    <t>75/2</t>
  </si>
  <si>
    <t>9</t>
  </si>
  <si>
    <t>ТП-76</t>
  </si>
  <si>
    <t>ТП-76 Силовой трансформатор  ТСЗ-400/6 У3</t>
  </si>
  <si>
    <t>0971</t>
  </si>
  <si>
    <t>ТП-76 выключатель нагрузкиВНП-16 6/400 с приводом ПР -17</t>
  </si>
  <si>
    <t>19011,0077,009</t>
  </si>
  <si>
    <t>ТП-76 Разъединитель РВ-16 10/600 с приводом ПР -2</t>
  </si>
  <si>
    <t>10</t>
  </si>
  <si>
    <t>ТП-79</t>
  </si>
  <si>
    <t>ТП-79 Т-1 Силовой трансформатор ТСЗ -630/6</t>
  </si>
  <si>
    <t>ТП-79 Т-2 Силовой трансформатор ТСЗ -630/6</t>
  </si>
  <si>
    <t>ТП-79 разъединитель РВ3 -16 10/630 с приводом ПР-10</t>
  </si>
  <si>
    <t>ТП-79 разъединитель РВ -16 10/630 с приводом ПР-10</t>
  </si>
  <si>
    <t>ТП-79  выключатель нагрузки  ВН-169 6/400 сприводом ПР -17</t>
  </si>
  <si>
    <t>ТП-79  кабельная линия АСБ(3х70) 2 нитки</t>
  </si>
  <si>
    <t xml:space="preserve">  2*15</t>
  </si>
  <si>
    <t>11</t>
  </si>
  <si>
    <t>ТП-81</t>
  </si>
  <si>
    <t>ТП-81 Разъединитель РВз-16 10/630 с приводом ПР -10</t>
  </si>
  <si>
    <t xml:space="preserve">ТП-81 кабельная линия ААБ(3х70) 2 нитки </t>
  </si>
  <si>
    <t xml:space="preserve"> 2*15</t>
  </si>
  <si>
    <t>12</t>
  </si>
  <si>
    <t>ТП-82</t>
  </si>
  <si>
    <t>ТП-82 выключатель нагрузки ВНПз-16 6/400 с приводом ПР -17</t>
  </si>
  <si>
    <t>-</t>
  </si>
  <si>
    <t>ТП-82 Разъединитель РВз-10/630 с приводом ПР -10</t>
  </si>
  <si>
    <t>13</t>
  </si>
  <si>
    <t>ТП-92</t>
  </si>
  <si>
    <t>ТП-92 Т-1 Силовой трансформатор ТЗN-70 -630/6</t>
  </si>
  <si>
    <t>ТП-92 Т-2 Силовой трансформатор ТМ -400/6</t>
  </si>
  <si>
    <t>ТП-92 Разъединитель РВз-10/630 с приводом ПРЗ -10</t>
  </si>
  <si>
    <t>ТП-92 выключатель нагрузки ВНПз 6/400 с приводом ПРЗ -17</t>
  </si>
  <si>
    <t xml:space="preserve">ТП-92 кабельная линия ААШВ(3х70) 2 нитки </t>
  </si>
  <si>
    <t>14</t>
  </si>
  <si>
    <t>ТП-94</t>
  </si>
  <si>
    <t>ТП-94 Т-1 Силовой трансформатор ТМ -630/6</t>
  </si>
  <si>
    <t>ТП-94 Т-2 Силовой трансформатор ТСЗ -630/6</t>
  </si>
  <si>
    <t>ТП-94 Разъединитель РВз-6/400 с приводом ПРЗ -16</t>
  </si>
  <si>
    <t>ТП-94 Разъединитель РВз-6/400 с приводом ПРЗ -10</t>
  </si>
  <si>
    <t>ТП-94 выключатель нагрузки ВНП-16  6/400 с приводом ПР -16</t>
  </si>
  <si>
    <t xml:space="preserve">ТП-94 кабельная линия ААШВ(3х70) 2 нитки </t>
  </si>
  <si>
    <t>15</t>
  </si>
  <si>
    <t>ТП-96</t>
  </si>
  <si>
    <t>ТП-96 Разъединитель РВз 10/630 с приводом ПР -10</t>
  </si>
  <si>
    <t>ТП-96 выключатель нагрузки ВНР 10/400 с приводом ПР-17</t>
  </si>
  <si>
    <t>ТП-96 1кабельная линия ААБлГ(3х95) 2 нитки</t>
  </si>
  <si>
    <t xml:space="preserve"> 2*20</t>
  </si>
  <si>
    <t>16</t>
  </si>
  <si>
    <t>ТП-107</t>
  </si>
  <si>
    <t>ТП-107 Т-1 Силовой трансформатор ТЗN-70 -630/6</t>
  </si>
  <si>
    <t>ТП-107 выключатель нагрузки ВНПз-17 6/400 с приводом ПР -17</t>
  </si>
  <si>
    <t>ТП-107 выключатель нагрузки ВНПРп 10/400 с приводом ПР -17</t>
  </si>
  <si>
    <t>ТП-107 Разъединитель РВ10/630 с приводом ПР -10</t>
  </si>
  <si>
    <t>ТП-107 кабельная линия ААБ(3х70)</t>
  </si>
  <si>
    <t>ТП-107 кабельная линия СБ (3х70)</t>
  </si>
  <si>
    <t>17</t>
  </si>
  <si>
    <t>ТП-110</t>
  </si>
  <si>
    <t>ТП-110 выключатель нагрузки ВНПз 10/400 с прводом ПР -17</t>
  </si>
  <si>
    <t>ТП-110 Разъединитель РВз 10/400 с приводом  ПР -17</t>
  </si>
  <si>
    <t>ТП-110 кабельная линия ААБ(3х70) 2 нитки</t>
  </si>
  <si>
    <t>18</t>
  </si>
  <si>
    <t>ТП-113</t>
  </si>
  <si>
    <t>ТП-113 Т-1 Силовой трансформатор Т3N70 630</t>
  </si>
  <si>
    <t>ТП-113 Т-2 Силовой трансформатор Т3N70 630</t>
  </si>
  <si>
    <t>ТП-113  выключатель нагрузки, ВНПз-16 10/400 с привдом ПР-17</t>
  </si>
  <si>
    <t>ТП-113 Разъединитель РВз 10/400 с приводом ПР10</t>
  </si>
  <si>
    <t>ТП-113 кабельная линия АСБ(3х35) 2 нитки</t>
  </si>
  <si>
    <t>19</t>
  </si>
  <si>
    <t>ТП-114</t>
  </si>
  <si>
    <t>ТП-114 Разъединитель РВз 10/630 с приводом ПР -10</t>
  </si>
  <si>
    <t>ТП-114 Разъединитель РВз 10/4000 с приводом ПР -10</t>
  </si>
  <si>
    <t>ТП-114  выключатель нагрузки ВНР 10/400 с приводом ПР -17</t>
  </si>
  <si>
    <t>ТП-114  выключатель нагрузки ВНПз 17  10/400 с приводом ПР -17</t>
  </si>
  <si>
    <t>ТП-114  выключатель нагрузки ВНПз 16  10/630 с приводом ПР -3</t>
  </si>
  <si>
    <t>ТП-114  выключатель нагрузки ВНПз 16  10/400 с приводом ПР -17</t>
  </si>
  <si>
    <t>ТП-114  кабельная линия ААБг(3х70) 2 нитки</t>
  </si>
  <si>
    <t>20</t>
  </si>
  <si>
    <t>ТП-118</t>
  </si>
  <si>
    <t>ТП-118 Т-1 Силовой трансформатор ТСЗ- 630/6</t>
  </si>
  <si>
    <t>ТП-118 Т-2 Силовой трансформатор ТСЗ- 630/6</t>
  </si>
  <si>
    <t>ТП-118 Разъединитель  РВ 6/630 с приводом ПР -10</t>
  </si>
  <si>
    <t>ТП-118 выключатель нагрузки ВНПзп 16 6/400 с приводом ПР -16</t>
  </si>
  <si>
    <t>ТП-118 выключатель нагрузки ВНз 16 6/400 с приводом ПР -16</t>
  </si>
  <si>
    <t>ТП-118 выключатель нагрузки ВНПз 17 10/630 с приводом ПР -17</t>
  </si>
  <si>
    <t>ТП-118 выключатель нагрузки ВНПз 16 10/400 с приводом ПР -17</t>
  </si>
  <si>
    <r>
      <t>ТП-118 2 кабельная линия ААБлГ (3</t>
    </r>
    <r>
      <rPr>
        <sz val="10"/>
        <color indexed="8"/>
        <rFont val="Calibri"/>
        <family val="2"/>
        <charset val="204"/>
      </rPr>
      <t>×120</t>
    </r>
    <r>
      <rPr>
        <sz val="10"/>
        <color indexed="8"/>
        <rFont val="Tahoma"/>
        <family val="2"/>
        <charset val="204"/>
      </rPr>
      <t>) 2 нитки</t>
    </r>
  </si>
  <si>
    <t>21</t>
  </si>
  <si>
    <t>ТП-121</t>
  </si>
  <si>
    <t>ТП-121 Т-1 Силовой трансформатор ТМЗ-630/6</t>
  </si>
  <si>
    <t xml:space="preserve"> меняли ли его,</t>
  </si>
  <si>
    <t>ТП-121 Т-2 Силовой трансформатор ТМ-630/6</t>
  </si>
  <si>
    <t>ТП-121 Разъединитель  РВ  6/630 с приводом ПР -10</t>
  </si>
  <si>
    <t>ТП-121 Разъединитель  РВз  6/630 с приводом ПР -10</t>
  </si>
  <si>
    <t>ТП-121 Разъединитель  РВз  6/400 с приводом ПР -10</t>
  </si>
  <si>
    <t>ТП-121 Выключатель нагрузки ВНРПз 10/400 с приводом ПР -10</t>
  </si>
  <si>
    <t>ТП-121 Выключатель нагрузки ВНПз 10/400 с приводом ПР -10</t>
  </si>
  <si>
    <r>
      <t>ТП-121  кабельная линия АШв (3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ahoma"/>
        <family val="2"/>
        <charset val="204"/>
      </rPr>
      <t>95)</t>
    </r>
  </si>
  <si>
    <r>
      <t>ТП-121  кабельная линия АШв (3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ahoma"/>
        <family val="2"/>
        <charset val="204"/>
      </rPr>
      <t>120)</t>
    </r>
  </si>
  <si>
    <t>22</t>
  </si>
  <si>
    <t>ТП-123</t>
  </si>
  <si>
    <t>ТП-123 РазъединительРВз 10/630 с приводом ПР -10</t>
  </si>
  <si>
    <t>ТП-123 РазъединительРВ  6/630 с приводом ПР -10</t>
  </si>
  <si>
    <t>ТП-123 РазъединительРВ 10/630 с приводом ПР -10</t>
  </si>
  <si>
    <t>ТП-123 Выключатель нагрузки ВНРПз 10/400 сприводом ПР -10</t>
  </si>
  <si>
    <r>
      <t>ТП-123 1 кабельная линия АШв (3</t>
    </r>
    <r>
      <rPr>
        <sz val="10"/>
        <color indexed="8"/>
        <rFont val="Calibri"/>
        <family val="2"/>
        <charset val="204"/>
      </rPr>
      <t>×</t>
    </r>
    <r>
      <rPr>
        <sz val="10"/>
        <color indexed="8"/>
        <rFont val="Tahoma"/>
        <family val="2"/>
        <charset val="204"/>
      </rPr>
      <t>95)</t>
    </r>
  </si>
  <si>
    <r>
      <t>ТП-123 1 кабельная линия АШв (3</t>
    </r>
    <r>
      <rPr>
        <sz val="10"/>
        <color indexed="8"/>
        <rFont val="Calibri"/>
        <family val="2"/>
        <charset val="204"/>
      </rPr>
      <t>×120</t>
    </r>
    <r>
      <rPr>
        <sz val="10"/>
        <color indexed="8"/>
        <rFont val="Tahoma"/>
        <family val="2"/>
        <charset val="204"/>
      </rPr>
      <t>)</t>
    </r>
  </si>
  <si>
    <t>23</t>
  </si>
  <si>
    <t>ТП-145</t>
  </si>
  <si>
    <t>ТП-145 Т-1 Силовой трансформатор ТМ -630/6</t>
  </si>
  <si>
    <t xml:space="preserve"> по произ.корпусу поставили</t>
  </si>
  <si>
    <t>ТП-145 Выключатель нагрузки ВНРПз 17 сприводом ПРЗ-17</t>
  </si>
  <si>
    <t>электрооборудования трансформаторных подстанций 0,4 кВ</t>
  </si>
  <si>
    <t>ТП-14</t>
  </si>
  <si>
    <t>Автомат  AE 16А</t>
  </si>
  <si>
    <t>Автомат  BA 5721  80А</t>
  </si>
  <si>
    <t>Автомат  BA 57Ф35  160А</t>
  </si>
  <si>
    <t>Автомат  ВА 5729  400А</t>
  </si>
  <si>
    <t>Автомат  ВА 5739  400А</t>
  </si>
  <si>
    <t xml:space="preserve">Автомат   OEZ BH 630 NE 305     630А </t>
  </si>
  <si>
    <t>Автомат  OEZ   BA 3794  630А</t>
  </si>
  <si>
    <t>Автомат  OEZ BL 1000 SE305   1000 А</t>
  </si>
  <si>
    <t>Автомат  A 3143   500А</t>
  </si>
  <si>
    <t xml:space="preserve">Автомат ВА 5541 1000 А </t>
  </si>
  <si>
    <t>Рубильник  РПС -2У 250 А</t>
  </si>
  <si>
    <t>Рубильник  РПС -2У 400 А</t>
  </si>
  <si>
    <t xml:space="preserve">Автомат   OEZ BH 250 NE 305     250А </t>
  </si>
  <si>
    <t>Автомат EKF 16A</t>
  </si>
  <si>
    <t xml:space="preserve">Автомат  АП -50 25 А </t>
  </si>
  <si>
    <t xml:space="preserve">Автомат 16А </t>
  </si>
  <si>
    <t>ТП-69</t>
  </si>
  <si>
    <t>Рубильник РПЦ-32 250 А</t>
  </si>
  <si>
    <t>Рубильник  ЯБПВ 400 А</t>
  </si>
  <si>
    <t>Рубильник РПЦ -36   600А</t>
  </si>
  <si>
    <t>Автомат  AEK 16А</t>
  </si>
  <si>
    <t>Автомат ВА 5641 630 А</t>
  </si>
  <si>
    <t xml:space="preserve">Рубильник РПС -2У 250А </t>
  </si>
  <si>
    <t xml:space="preserve">Рубильник РПС -2У 400А </t>
  </si>
  <si>
    <t>Автомат  BL 1000SE 305 1000 А</t>
  </si>
  <si>
    <t>Рубильник РПЦ-32   250 А</t>
  </si>
  <si>
    <t xml:space="preserve">Автомат IEK 16А </t>
  </si>
  <si>
    <t>Автомат Legrand   125 А</t>
  </si>
  <si>
    <t>Автомат Шнайдер 400 А</t>
  </si>
  <si>
    <t>Автомат Шнайдер  630 А</t>
  </si>
  <si>
    <t>Рубильник  РПЦ -32  250 А</t>
  </si>
  <si>
    <t>РУ 77 к ТП 76</t>
  </si>
  <si>
    <t>Автомат    25 А</t>
  </si>
  <si>
    <t>Рубильник  РПС -2/П УХЛЗ 250А</t>
  </si>
  <si>
    <t>Рубильник  РПЦ -36 630А</t>
  </si>
  <si>
    <t>Автомат AE 16 А</t>
  </si>
  <si>
    <t>Автомат OEZ BD250NE305  250А</t>
  </si>
  <si>
    <t>Автомат ВА 88-37  400 А</t>
  </si>
  <si>
    <t>Автомат NXMS - 400 H/3300</t>
  </si>
  <si>
    <t>Автомат  ВА 55-41 1000 А</t>
  </si>
  <si>
    <t>Автомат SE-BL-1000 DTV3</t>
  </si>
  <si>
    <t>Автомат NXMS - 1250 H/3300</t>
  </si>
  <si>
    <t>Автомат ВА 47-29 10А</t>
  </si>
  <si>
    <t>Автомат ВА 47-29 16А</t>
  </si>
  <si>
    <t>Автомат ВА 47-29  50А</t>
  </si>
  <si>
    <t xml:space="preserve">Автомат ВА-99М 100А </t>
  </si>
  <si>
    <t>Автомат OEZ BH250NE305  250А</t>
  </si>
  <si>
    <t>Автомат  А 3144  600А</t>
  </si>
  <si>
    <t>Автомат OEZ BH630NE305  630А</t>
  </si>
  <si>
    <t>Автомат BL 1000 SE305 1000 А</t>
  </si>
  <si>
    <t>РУ 78 к ТП 81</t>
  </si>
  <si>
    <t>Рубильник РПС-2/П УХЛЗ  250А</t>
  </si>
  <si>
    <t>Рубильник РПЦ -36 630А</t>
  </si>
  <si>
    <t xml:space="preserve">Автомат АЕ  16 А </t>
  </si>
  <si>
    <t xml:space="preserve">Автомат ВА 8835 250А </t>
  </si>
  <si>
    <t>Автомат  ВА 8837 400А</t>
  </si>
  <si>
    <t>Автомат OEZ BH630 NE305 630А</t>
  </si>
  <si>
    <t>Автомат OEZ BL 1000SE305  1000А</t>
  </si>
  <si>
    <t>Автомат OEZ BL 1600SE320  1600А</t>
  </si>
  <si>
    <t>Рубильник  ЯРП 400А</t>
  </si>
  <si>
    <t>ТП-91 (92)</t>
  </si>
  <si>
    <t xml:space="preserve">Автомат  АЕ  16А </t>
  </si>
  <si>
    <t xml:space="preserve">Автомат  А 3716 160А </t>
  </si>
  <si>
    <t xml:space="preserve">Рубильник  РПЦ -32   250А </t>
  </si>
  <si>
    <t xml:space="preserve">Рубильник  РПЦ -34  400А </t>
  </si>
  <si>
    <t xml:space="preserve">Рубильник  1000 А </t>
  </si>
  <si>
    <t>ТП-86 (94)</t>
  </si>
  <si>
    <t>Автомат ВА 47 - 29 10А</t>
  </si>
  <si>
    <t xml:space="preserve">Автомат ВА 16А </t>
  </si>
  <si>
    <t>Автомат ВА 47 - 29 16А</t>
  </si>
  <si>
    <t>Автомат ВА-99М 100А</t>
  </si>
  <si>
    <t>Автомат  А3716 ФУЗ 125А</t>
  </si>
  <si>
    <t>Автомат  А3716 ФУЗ 160А</t>
  </si>
  <si>
    <t>Автомат  А3712 ФУЗ 160А</t>
  </si>
  <si>
    <t>Автомат ВА-99М 160А</t>
  </si>
  <si>
    <t>Автомат ВА-99М 200А</t>
  </si>
  <si>
    <t>Автомат  А3786 УЗ 250А</t>
  </si>
  <si>
    <t>Автомат  А3722 БУЗ 250А</t>
  </si>
  <si>
    <t>Автомат  А3798 СУЗ 630А</t>
  </si>
  <si>
    <t>Автомат OEZ BL -J1000SE305  1000А</t>
  </si>
  <si>
    <t xml:space="preserve">Автомат OEZ BL -J1600SE305  1600 А </t>
  </si>
  <si>
    <t>Рубильник РПЦ  400А</t>
  </si>
  <si>
    <t>ТП-95</t>
  </si>
  <si>
    <t xml:space="preserve">Автомат OEZ BL 1000SE305  1000 А </t>
  </si>
  <si>
    <t xml:space="preserve">Автомат OEZ BL 1600SE305  1600 А </t>
  </si>
  <si>
    <t xml:space="preserve">Рубильник  РПС -2У   250А </t>
  </si>
  <si>
    <t xml:space="preserve">Рубильник  РПС -2У   400А </t>
  </si>
  <si>
    <t>Автомат А 3726 250А</t>
  </si>
  <si>
    <t>Автома АЕ 16А</t>
  </si>
  <si>
    <t xml:space="preserve"> Автомат ВА-99М 200А</t>
  </si>
  <si>
    <t xml:space="preserve">Автомат OEZ BН 630SE305  630 А </t>
  </si>
  <si>
    <t xml:space="preserve">Автомат ВА 53-44  2000 А </t>
  </si>
  <si>
    <t>Автомат А 3716 160А</t>
  </si>
  <si>
    <t>Автомат А 37 250А</t>
  </si>
  <si>
    <t>ТП-112</t>
  </si>
  <si>
    <t>Автомат EKF 63 А</t>
  </si>
  <si>
    <t>Автомат  А 3143 500А</t>
  </si>
  <si>
    <t xml:space="preserve">Автомат А 3144 600А </t>
  </si>
  <si>
    <t xml:space="preserve">Рубильник  РПЦ -32 250А </t>
  </si>
  <si>
    <t xml:space="preserve">Рубильник  РПЦ -34 400 А </t>
  </si>
  <si>
    <t>24</t>
  </si>
  <si>
    <t xml:space="preserve">Автомат EKF 6А </t>
  </si>
  <si>
    <t xml:space="preserve">Автомат ВА 57-35 250 А </t>
  </si>
  <si>
    <t xml:space="preserve">Автомат А 3144 400А </t>
  </si>
  <si>
    <t xml:space="preserve"> где еще один 2020 год</t>
  </si>
  <si>
    <t>25</t>
  </si>
  <si>
    <t xml:space="preserve">Рубильник  РПС-2У 250А </t>
  </si>
  <si>
    <t xml:space="preserve">Рубильник  РПС-2У 400А </t>
  </si>
  <si>
    <t>26</t>
  </si>
  <si>
    <t>ТП-116</t>
  </si>
  <si>
    <t xml:space="preserve">Автомат  А 3144 500 А </t>
  </si>
  <si>
    <t>Рубильник  РПС -2У   250А</t>
  </si>
  <si>
    <t>Рубильник  РПС -2/П УХЛЗ 400А</t>
  </si>
  <si>
    <t>Рубильник  РПС -2У   400А</t>
  </si>
  <si>
    <t>27</t>
  </si>
  <si>
    <t>ТП-117</t>
  </si>
  <si>
    <t xml:space="preserve">Автомат BN630 NE305  630 А </t>
  </si>
  <si>
    <t>Автомат SE-BL-1600 DTV3</t>
  </si>
  <si>
    <t xml:space="preserve">Автомат BA 5543  1600 А </t>
  </si>
  <si>
    <t xml:space="preserve">Рубильник РПЦ -32 250 А </t>
  </si>
  <si>
    <t>28</t>
  </si>
  <si>
    <t xml:space="preserve"> Автомат ВА 47-29 16А</t>
  </si>
  <si>
    <t xml:space="preserve">Рубильник РПЦ -34  400 А </t>
  </si>
  <si>
    <t>29</t>
  </si>
  <si>
    <t>ТП-120</t>
  </si>
  <si>
    <t xml:space="preserve">Автомат ВА 47-29 63А </t>
  </si>
  <si>
    <t>30</t>
  </si>
  <si>
    <t>31</t>
  </si>
  <si>
    <t>Автомат ВА 47-29  10А</t>
  </si>
  <si>
    <t xml:space="preserve"> Автомат ВА-99М 100А</t>
  </si>
  <si>
    <t xml:space="preserve">Автомат  АВМ -10-УЗ 1000А </t>
  </si>
  <si>
    <t>Автомат ВА 88-43 1600 А</t>
  </si>
  <si>
    <t>32</t>
  </si>
  <si>
    <t xml:space="preserve">Автомат АЕ  2046 16А </t>
  </si>
  <si>
    <t xml:space="preserve">Автомат А 371 16А </t>
  </si>
  <si>
    <t>Автомат ВА  47-29 32А</t>
  </si>
  <si>
    <t xml:space="preserve">Автомат А 371 32А </t>
  </si>
  <si>
    <t xml:space="preserve">Автомат А 371 63А </t>
  </si>
  <si>
    <t xml:space="preserve">Автомат А 371 160А </t>
  </si>
  <si>
    <t xml:space="preserve">Автомат А 3726 200А </t>
  </si>
  <si>
    <t xml:space="preserve">Автомат А 3726 250А </t>
  </si>
  <si>
    <t xml:space="preserve">Автомат ВА 99М  250А </t>
  </si>
  <si>
    <t xml:space="preserve">Автомат ВА 99      400А </t>
  </si>
  <si>
    <t xml:space="preserve">Автома ВА 5541 1000А </t>
  </si>
  <si>
    <t xml:space="preserve">Автома ВА 5343 1600А </t>
  </si>
  <si>
    <t xml:space="preserve">Рубильник  РПЦ -30 100А </t>
  </si>
  <si>
    <t xml:space="preserve">Рубильник РПЦ -36  1000 А </t>
  </si>
  <si>
    <t>всего</t>
  </si>
  <si>
    <t xml:space="preserve">% </t>
  </si>
  <si>
    <t>12.08.2021 год</t>
  </si>
  <si>
    <t>ТП 63</t>
  </si>
  <si>
    <t>ТП 66</t>
  </si>
  <si>
    <t>ТП 67</t>
  </si>
  <si>
    <t>ТП 73</t>
  </si>
  <si>
    <t>ТП 74</t>
  </si>
  <si>
    <t>ТП 75</t>
  </si>
  <si>
    <t>ТП 76</t>
  </si>
  <si>
    <t>ТП 145</t>
  </si>
  <si>
    <t xml:space="preserve"> ТМ -320/6</t>
  </si>
  <si>
    <t xml:space="preserve"> ТМ -400/6</t>
  </si>
  <si>
    <t xml:space="preserve"> ТМ -630/6</t>
  </si>
  <si>
    <t xml:space="preserve"> ТСЗ -400/6</t>
  </si>
  <si>
    <t xml:space="preserve"> ТСЗ -630/6</t>
  </si>
  <si>
    <t xml:space="preserve"> ТЗN -70 630/6</t>
  </si>
  <si>
    <t>итого</t>
  </si>
  <si>
    <t>ТП-81-Дудинская 5</t>
  </si>
  <si>
    <t>эстакада,подполье жилого дома</t>
  </si>
  <si>
    <t>АВБШВ  4х95</t>
  </si>
  <si>
    <t>АВБШВ 4*70</t>
  </si>
  <si>
    <t>АВБШВ 4*120</t>
  </si>
  <si>
    <t>подполье жилого дома, эстакада</t>
  </si>
  <si>
    <t>09</t>
  </si>
  <si>
    <t>АВРБГ 4х95</t>
  </si>
  <si>
    <t>Автомат NXMS -400 Н/3300  400 А</t>
  </si>
  <si>
    <t>Автомат NXM -1000 S/3300  1000 А</t>
  </si>
  <si>
    <t>Автомат ВА 47-29 1Р 32</t>
  </si>
  <si>
    <t>Автомат  ВА 47-29 1Р 10А</t>
  </si>
  <si>
    <t xml:space="preserve"> Характеристика Кабельных  линий  АО "Таймырбыт " за 2025 год</t>
  </si>
  <si>
    <t>АВБШв 4х95 мс(N)-1000</t>
  </si>
  <si>
    <t>АВБШв 4х95мс(N)-1000</t>
  </si>
  <si>
    <t>АВБШв4х95мс(N)-1000</t>
  </si>
  <si>
    <t>подъезд 2-4</t>
  </si>
  <si>
    <t>ТП 96- гаражный бокс Ленина , строение 40</t>
  </si>
  <si>
    <t>ПР АВ№2</t>
  </si>
  <si>
    <t>АВБШВ 4х10</t>
  </si>
  <si>
    <t>АВБШв4х150</t>
  </si>
  <si>
    <t xml:space="preserve">ТП 123- гаражный бокс ул.Стройплощадка </t>
  </si>
  <si>
    <t>ПР АВ №1</t>
  </si>
  <si>
    <t>АВБШв 4х16</t>
  </si>
  <si>
    <t xml:space="preserve"> АВБбШВ 4х25</t>
  </si>
  <si>
    <t>ТП-110 Т-2  Силовой трансформатор ТСЗ 630/6/0,4 У3</t>
  </si>
  <si>
    <t>ТП-110 Т-1  Силовой трансформатор ТСЗ 630/6/0,4 У3</t>
  </si>
  <si>
    <t>2054.1</t>
  </si>
  <si>
    <t>2054.2</t>
  </si>
  <si>
    <t>8-9</t>
  </si>
  <si>
    <t>ТП-81 Т-1 Силовой трансформатор ТСЗ -630/6- УЗ</t>
  </si>
  <si>
    <t xml:space="preserve">ТП-81 Т-2 Силовой трансформатор ТСЗ -630/6-УЗ </t>
  </si>
  <si>
    <t>Выключатель нагрузки тип ВН -16 6/400 с  приводом  ПР-17</t>
  </si>
  <si>
    <t xml:space="preserve">ТП-123 Т-1 Силовой трансформатор ТСЗ -400/6/0,4 УХЛЗЗ </t>
  </si>
  <si>
    <t>ТП-123 Т-2 Силовой трансформатор ТМЗ-400/6</t>
  </si>
  <si>
    <t xml:space="preserve">Автомат  NM8N-1600 S 1000 А </t>
  </si>
  <si>
    <t>Автомат IEK 250 А</t>
  </si>
  <si>
    <t>Автомат NXM 880 S/3300  630 А</t>
  </si>
  <si>
    <t>подполье жилого дома,траншея,эстакада</t>
  </si>
  <si>
    <t>эстакада,подполье жилого дома,КВЛ</t>
  </si>
  <si>
    <t>подполье жилого дома,коллектор,траншея,КВЛ</t>
  </si>
  <si>
    <t>Автомат NXMS - 400 H/3300 400А</t>
  </si>
  <si>
    <t>Автомат NM8N-1600 S 1000 А</t>
  </si>
  <si>
    <t>Мощность присоединения  абонентов  с коэф-м 0,7</t>
  </si>
  <si>
    <t>№п/п</t>
  </si>
  <si>
    <t xml:space="preserve">Диспетчерское наименование </t>
  </si>
  <si>
    <t xml:space="preserve">Местонахождение объекта </t>
  </si>
  <si>
    <t xml:space="preserve">год ввода в эксплуатацию здания </t>
  </si>
  <si>
    <t xml:space="preserve">  ТРАНСФОРМАТОР </t>
  </si>
  <si>
    <t xml:space="preserve">заявл.мощность абонентов </t>
  </si>
  <si>
    <t xml:space="preserve">ТИП </t>
  </si>
  <si>
    <t>Номин. мощность, Sном, кВА</t>
  </si>
  <si>
    <t>Максимальная мощность кВА</t>
  </si>
  <si>
    <t xml:space="preserve">кол-во траснформаторов </t>
  </si>
  <si>
    <t xml:space="preserve">АО "Таймырбыт" </t>
  </si>
  <si>
    <t xml:space="preserve"> ТП 14</t>
  </si>
  <si>
    <t>г.Дудинка район ж.д ул.Островского 8б</t>
  </si>
  <si>
    <t>нет данных</t>
  </si>
  <si>
    <t xml:space="preserve"> ТП 15</t>
  </si>
  <si>
    <t>г.Дудинка район ж.д ул.Островского 1</t>
  </si>
  <si>
    <t>ПТП 28</t>
  </si>
  <si>
    <t>г.Дудинка  ул.Морозова 15</t>
  </si>
  <si>
    <t>г.Дудинка ул.Ленина 16</t>
  </si>
  <si>
    <t>г.Дудинка ул.Горького 55</t>
  </si>
  <si>
    <t>г.Дудинка ул.Андреевой 5</t>
  </si>
  <si>
    <t>г.Дудинка ул. Матросова  13</t>
  </si>
  <si>
    <t>г.Дудинка ул. Матросова  9</t>
  </si>
  <si>
    <t>г.Дудинка ул. Островского 11</t>
  </si>
  <si>
    <t>г.Дудинка ул. Матросова  3А</t>
  </si>
  <si>
    <t>ТП 79</t>
  </si>
  <si>
    <t>г.Дудинка район ж.д ул.Островского17</t>
  </si>
  <si>
    <t>ТП -81</t>
  </si>
  <si>
    <t>г.Дудинка район ж.д ул.Дудинская 7а</t>
  </si>
  <si>
    <t>ТП 82</t>
  </si>
  <si>
    <t>г.Дудинка район ж.д  ул. Матросова  2 б</t>
  </si>
  <si>
    <t>ТП 86(94)</t>
  </si>
  <si>
    <t>г.Дудинка район ж.д  ул.Горького 15</t>
  </si>
  <si>
    <t>ТП 91(92)</t>
  </si>
  <si>
    <t>г.Дудинка ул. Дудинская 1 строение 2</t>
  </si>
  <si>
    <t>ТП 95</t>
  </si>
  <si>
    <t>г.Дудинка район ж.д  ул. Матросова 10 в</t>
  </si>
  <si>
    <t>ТП 96</t>
  </si>
  <si>
    <t xml:space="preserve">г.Дудинка район ж.д  ул. 40 Лет победы 6а </t>
  </si>
  <si>
    <t>ТП 107</t>
  </si>
  <si>
    <t>г.Дудинка район ж.д  ул. Бегичева  4</t>
  </si>
  <si>
    <t>ТП 110</t>
  </si>
  <si>
    <t>г.Дудинка район ж.д  ул. Бегичева  12</t>
  </si>
  <si>
    <t>ТП 112</t>
  </si>
  <si>
    <t>г.Дудинка район ж.д  ул. Островского 18/2</t>
  </si>
  <si>
    <t>ТП113</t>
  </si>
  <si>
    <t>г.Дудинка район ж.д  ул. Дудинская 11</t>
  </si>
  <si>
    <t>ТП114</t>
  </si>
  <si>
    <t>г.Дудинка район ж.д  ул. Щорса  21</t>
  </si>
  <si>
    <t>ТП 116</t>
  </si>
  <si>
    <t>г.Дудинка район ж.д  ул. Щорса  16</t>
  </si>
  <si>
    <t>ТП117</t>
  </si>
  <si>
    <t>г.Дудинка район ж.д  ул. Дудинская 19</t>
  </si>
  <si>
    <t>ТП 118</t>
  </si>
  <si>
    <t>г.Дудинка   ул. Строителей 3а  строение 1</t>
  </si>
  <si>
    <t>тп120</t>
  </si>
  <si>
    <t>г.Дудинка район ж.д  ул. Щорса 25а</t>
  </si>
  <si>
    <t>ТП 121</t>
  </si>
  <si>
    <t>г.Дудинка район ж.д  ул. Щорса 31</t>
  </si>
  <si>
    <t>ТП123</t>
  </si>
  <si>
    <t>г.Дудинка район ж.д  ул. Щорса 37/1</t>
  </si>
  <si>
    <t>г.Дудинка район ж.д  ул. Морозова 23</t>
  </si>
  <si>
    <t xml:space="preserve">Главный энергетик </t>
  </si>
  <si>
    <t xml:space="preserve">С.Г.Губин </t>
  </si>
  <si>
    <t xml:space="preserve"> 2-х трансформаторная </t>
  </si>
  <si>
    <t xml:space="preserve"> ТМЗ -630/6</t>
  </si>
  <si>
    <t xml:space="preserve"> ТМЗ -400/6</t>
  </si>
  <si>
    <t xml:space="preserve"> ТСЗ -630/6 / ТМ 630/6</t>
  </si>
  <si>
    <t xml:space="preserve">Абоненты </t>
  </si>
  <si>
    <t xml:space="preserve"> Информация  о загруженности трансформаторных подстанций  обслуживаемых    ОА "Таймырбыт" за 2025 год.</t>
  </si>
  <si>
    <t>шт кабелей 6кВ</t>
  </si>
  <si>
    <t>АВБбШВ 4х70</t>
  </si>
  <si>
    <t xml:space="preserve">подполье жилого дома,траншея,эстакада,подполье не жилого дома </t>
  </si>
  <si>
    <t xml:space="preserve"> ТП -96 - Матросова 14 ( помещение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</si>
</sst>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0099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sz val="11"/>
      <color theme="9" tint="-0.249977111117893"/>
      <name val="Times New Roman"/>
      <family val="1"/>
      <charset val="204"/>
    </font>
    <font>
      <sz val="11"/>
      <color theme="9" tint="-0.249977111117893"/>
      <name val="Tahoma"/>
      <family val="2"/>
      <charset val="204"/>
    </font>
    <font>
      <sz val="11"/>
      <color rgb="FFFF0000"/>
      <name val="Tahoma"/>
      <family val="2"/>
      <charset val="204"/>
    </font>
    <font>
      <sz val="11"/>
      <color rgb="FF009900"/>
      <name val="Tahoma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ahoma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4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1" xfId="0" applyFont="1" applyBorder="1"/>
    <xf numFmtId="0" fontId="8" fillId="0" borderId="0" xfId="2" applyNumberFormat="1" applyFont="1" applyFill="1" applyBorder="1" applyAlignment="1">
      <alignment vertical="center" wrapText="1"/>
    </xf>
    <xf numFmtId="1" fontId="9" fillId="2" borderId="9" xfId="2" applyNumberFormat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9" fillId="0" borderId="11" xfId="2" applyFont="1" applyFill="1" applyBorder="1" applyAlignment="1">
      <alignment horizontal="center" vertical="center"/>
    </xf>
    <xf numFmtId="1" fontId="9" fillId="0" borderId="11" xfId="2" applyNumberFormat="1" applyFont="1" applyFill="1" applyBorder="1" applyAlignment="1">
      <alignment horizontal="center" vertical="center" wrapText="1"/>
    </xf>
    <xf numFmtId="1" fontId="9" fillId="2" borderId="11" xfId="2" applyNumberFormat="1" applyFont="1" applyFill="1" applyBorder="1" applyAlignment="1">
      <alignment horizontal="center" vertical="center" wrapText="1"/>
    </xf>
    <xf numFmtId="9" fontId="9" fillId="0" borderId="11" xfId="1" applyFont="1" applyFill="1" applyBorder="1" applyAlignment="1">
      <alignment horizontal="center" vertical="center" wrapText="1"/>
    </xf>
    <xf numFmtId="9" fontId="9" fillId="0" borderId="12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17" xfId="2" applyFont="1" applyFill="1" applyBorder="1" applyAlignment="1">
      <alignment horizontal="center" vertical="center"/>
    </xf>
    <xf numFmtId="1" fontId="9" fillId="0" borderId="17" xfId="2" applyNumberFormat="1" applyFont="1" applyFill="1" applyBorder="1" applyAlignment="1">
      <alignment horizontal="center" vertical="center" wrapText="1"/>
    </xf>
    <xf numFmtId="9" fontId="9" fillId="0" borderId="17" xfId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9" fillId="0" borderId="19" xfId="2" applyFont="1" applyFill="1" applyBorder="1" applyAlignment="1">
      <alignment horizontal="center" vertical="center"/>
    </xf>
    <xf numFmtId="1" fontId="9" fillId="0" borderId="19" xfId="2" applyNumberFormat="1" applyFont="1" applyFill="1" applyBorder="1" applyAlignment="1">
      <alignment horizontal="center" vertical="center" wrapText="1"/>
    </xf>
    <xf numFmtId="1" fontId="9" fillId="2" borderId="19" xfId="2" applyNumberFormat="1" applyFont="1" applyFill="1" applyBorder="1" applyAlignment="1">
      <alignment horizontal="center" vertical="center" wrapText="1"/>
    </xf>
    <xf numFmtId="9" fontId="9" fillId="0" borderId="19" xfId="1" applyFont="1" applyFill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" fontId="9" fillId="2" borderId="17" xfId="2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1" xfId="0" applyFont="1" applyFill="1" applyBorder="1" applyAlignment="1">
      <alignment vertical="center" wrapText="1"/>
    </xf>
    <xf numFmtId="0" fontId="9" fillId="0" borderId="31" xfId="2" applyFont="1" applyFill="1" applyBorder="1" applyAlignment="1">
      <alignment horizontal="center" vertical="center"/>
    </xf>
    <xf numFmtId="1" fontId="9" fillId="0" borderId="31" xfId="2" applyNumberFormat="1" applyFont="1" applyFill="1" applyBorder="1" applyAlignment="1">
      <alignment horizontal="center" vertical="center" wrapText="1"/>
    </xf>
    <xf numFmtId="9" fontId="9" fillId="0" borderId="31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12" xfId="0" applyFont="1" applyFill="1" applyBorder="1" applyAlignment="1">
      <alignment vertical="center" wrapText="1"/>
    </xf>
    <xf numFmtId="0" fontId="9" fillId="0" borderId="12" xfId="2" applyFont="1" applyFill="1" applyBorder="1" applyAlignment="1">
      <alignment horizontal="center" vertical="center"/>
    </xf>
    <xf numFmtId="1" fontId="9" fillId="0" borderId="12" xfId="2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23" xfId="0" applyFont="1" applyFill="1" applyBorder="1" applyAlignment="1">
      <alignment vertical="center" wrapText="1"/>
    </xf>
    <xf numFmtId="0" fontId="9" fillId="0" borderId="23" xfId="2" applyFont="1" applyFill="1" applyBorder="1" applyAlignment="1">
      <alignment horizontal="center" vertical="center"/>
    </xf>
    <xf numFmtId="1" fontId="9" fillId="0" borderId="23" xfId="2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4" fontId="3" fillId="0" borderId="0" xfId="0" applyNumberFormat="1" applyFont="1"/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/>
    <xf numFmtId="1" fontId="4" fillId="4" borderId="4" xfId="0" applyNumberFormat="1" applyFont="1" applyFill="1" applyBorder="1"/>
    <xf numFmtId="9" fontId="4" fillId="4" borderId="4" xfId="0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3" fillId="3" borderId="0" xfId="0" applyFont="1" applyFill="1"/>
    <xf numFmtId="2" fontId="3" fillId="0" borderId="0" xfId="0" applyNumberFormat="1" applyFont="1"/>
    <xf numFmtId="49" fontId="14" fillId="0" borderId="0" xfId="2" applyNumberFormat="1" applyFont="1" applyFill="1"/>
    <xf numFmtId="0" fontId="15" fillId="0" borderId="0" xfId="2" applyFont="1" applyFill="1"/>
    <xf numFmtId="0" fontId="16" fillId="0" borderId="0" xfId="2" applyFont="1" applyFill="1" applyAlignment="1"/>
    <xf numFmtId="0" fontId="16" fillId="0" borderId="0" xfId="2" applyFont="1" applyFill="1" applyAlignment="1">
      <alignment horizontal="center"/>
    </xf>
    <xf numFmtId="49" fontId="17" fillId="0" borderId="0" xfId="2" applyNumberFormat="1" applyFont="1" applyFill="1"/>
    <xf numFmtId="49" fontId="18" fillId="0" borderId="0" xfId="2" applyNumberFormat="1" applyFont="1" applyFill="1"/>
    <xf numFmtId="0" fontId="16" fillId="0" borderId="0" xfId="2" applyFont="1" applyFill="1"/>
    <xf numFmtId="0" fontId="21" fillId="0" borderId="0" xfId="2" applyFont="1" applyFill="1"/>
    <xf numFmtId="0" fontId="19" fillId="0" borderId="4" xfId="2" applyNumberFormat="1" applyFont="1" applyFill="1" applyBorder="1" applyAlignment="1">
      <alignment horizontal="center" vertical="center" wrapText="1"/>
    </xf>
    <xf numFmtId="49" fontId="23" fillId="0" borderId="4" xfId="2" applyNumberFormat="1" applyFont="1" applyFill="1" applyBorder="1" applyAlignment="1">
      <alignment horizontal="center"/>
    </xf>
    <xf numFmtId="0" fontId="23" fillId="0" borderId="4" xfId="2" applyFont="1" applyFill="1" applyBorder="1" applyAlignment="1">
      <alignment horizontal="center"/>
    </xf>
    <xf numFmtId="0" fontId="23" fillId="0" borderId="4" xfId="2" applyNumberFormat="1" applyFont="1" applyFill="1" applyBorder="1" applyAlignment="1">
      <alignment horizontal="left" vertical="center" wrapText="1"/>
    </xf>
    <xf numFmtId="49" fontId="24" fillId="0" borderId="4" xfId="2" applyNumberFormat="1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/>
    </xf>
    <xf numFmtId="1" fontId="24" fillId="0" borderId="4" xfId="2" applyNumberFormat="1" applyFont="1" applyFill="1" applyBorder="1" applyAlignment="1">
      <alignment horizontal="center" vertical="center" wrapText="1"/>
    </xf>
    <xf numFmtId="9" fontId="24" fillId="0" borderId="4" xfId="1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/>
    </xf>
    <xf numFmtId="1" fontId="23" fillId="0" borderId="4" xfId="2" applyNumberFormat="1" applyFont="1" applyFill="1" applyBorder="1" applyAlignment="1">
      <alignment horizontal="center" vertical="center" wrapText="1"/>
    </xf>
    <xf numFmtId="9" fontId="23" fillId="0" borderId="4" xfId="1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left" vertical="center" wrapText="1"/>
    </xf>
    <xf numFmtId="49" fontId="23" fillId="0" borderId="36" xfId="2" applyNumberFormat="1" applyFont="1" applyFill="1" applyBorder="1" applyAlignment="1">
      <alignment horizontal="center"/>
    </xf>
    <xf numFmtId="0" fontId="23" fillId="0" borderId="36" xfId="2" applyFont="1" applyFill="1" applyBorder="1" applyAlignment="1">
      <alignment horizontal="center"/>
    </xf>
    <xf numFmtId="0" fontId="23" fillId="0" borderId="36" xfId="2" applyNumberFormat="1" applyFont="1" applyFill="1" applyBorder="1" applyAlignment="1">
      <alignment horizontal="left" vertical="center" wrapText="1"/>
    </xf>
    <xf numFmtId="0" fontId="23" fillId="0" borderId="36" xfId="2" applyFont="1" applyFill="1" applyBorder="1" applyAlignment="1">
      <alignment horizontal="center" vertical="center"/>
    </xf>
    <xf numFmtId="1" fontId="23" fillId="0" borderId="36" xfId="2" applyNumberFormat="1" applyFont="1" applyFill="1" applyBorder="1" applyAlignment="1">
      <alignment horizontal="center" vertical="center" wrapText="1"/>
    </xf>
    <xf numFmtId="9" fontId="23" fillId="0" borderId="36" xfId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>
      <alignment horizontal="center"/>
    </xf>
    <xf numFmtId="0" fontId="23" fillId="0" borderId="37" xfId="2" applyNumberFormat="1" applyFont="1" applyFill="1" applyBorder="1" applyAlignment="1">
      <alignment horizontal="left" vertical="center" wrapText="1"/>
    </xf>
    <xf numFmtId="49" fontId="24" fillId="0" borderId="37" xfId="2" applyNumberFormat="1" applyFont="1" applyFill="1" applyBorder="1" applyAlignment="1">
      <alignment horizontal="center" vertical="center" wrapText="1"/>
    </xf>
    <xf numFmtId="0" fontId="24" fillId="0" borderId="37" xfId="2" applyFont="1" applyFill="1" applyBorder="1" applyAlignment="1">
      <alignment horizontal="center" vertical="center"/>
    </xf>
    <xf numFmtId="1" fontId="24" fillId="0" borderId="37" xfId="2" applyNumberFormat="1" applyFont="1" applyFill="1" applyBorder="1" applyAlignment="1">
      <alignment horizontal="center" vertical="center" wrapText="1"/>
    </xf>
    <xf numFmtId="9" fontId="24" fillId="0" borderId="37" xfId="1" applyFont="1" applyFill="1" applyBorder="1" applyAlignment="1">
      <alignment horizontal="center" vertical="center" wrapText="1"/>
    </xf>
    <xf numFmtId="0" fontId="24" fillId="0" borderId="7" xfId="2" applyFont="1" applyFill="1" applyBorder="1" applyAlignment="1">
      <alignment horizontal="center" vertical="center"/>
    </xf>
    <xf numFmtId="0" fontId="25" fillId="0" borderId="0" xfId="2" applyFont="1" applyFill="1" applyBorder="1"/>
    <xf numFmtId="0" fontId="15" fillId="0" borderId="0" xfId="2" applyFont="1" applyFill="1" applyBorder="1"/>
    <xf numFmtId="0" fontId="23" fillId="0" borderId="36" xfId="2" applyFont="1" applyFill="1" applyBorder="1" applyAlignment="1">
      <alignment horizontal="left" vertical="center" wrapText="1"/>
    </xf>
    <xf numFmtId="49" fontId="23" fillId="0" borderId="37" xfId="2" applyNumberFormat="1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/>
    </xf>
    <xf numFmtId="1" fontId="23" fillId="0" borderId="37" xfId="2" applyNumberFormat="1" applyFont="1" applyFill="1" applyBorder="1" applyAlignment="1">
      <alignment horizontal="center" vertical="center" wrapText="1"/>
    </xf>
    <xf numFmtId="9" fontId="23" fillId="0" borderId="37" xfId="1" applyFont="1" applyFill="1" applyBorder="1" applyAlignment="1">
      <alignment horizontal="center" vertical="center" wrapText="1"/>
    </xf>
    <xf numFmtId="0" fontId="23" fillId="0" borderId="36" xfId="2" applyFont="1" applyFill="1" applyBorder="1" applyAlignment="1">
      <alignment horizontal="left" vertical="center"/>
    </xf>
    <xf numFmtId="49" fontId="23" fillId="0" borderId="4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23" fillId="0" borderId="37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/>
    <xf numFmtId="0" fontId="25" fillId="0" borderId="0" xfId="2" applyFont="1" applyFill="1" applyBorder="1" applyAlignment="1"/>
    <xf numFmtId="0" fontId="23" fillId="0" borderId="4" xfId="2" applyFont="1" applyFill="1" applyBorder="1" applyAlignment="1">
      <alignment horizontal="left" vertical="center"/>
    </xf>
    <xf numFmtId="0" fontId="24" fillId="0" borderId="37" xfId="2" applyNumberFormat="1" applyFont="1" applyFill="1" applyBorder="1" applyAlignment="1">
      <alignment horizontal="left" vertical="center" wrapText="1"/>
    </xf>
    <xf numFmtId="4" fontId="23" fillId="0" borderId="4" xfId="2" applyNumberFormat="1" applyFont="1" applyFill="1" applyBorder="1" applyAlignment="1">
      <alignment horizontal="center" vertical="center"/>
    </xf>
    <xf numFmtId="0" fontId="26" fillId="0" borderId="0" xfId="2" applyFont="1" applyFill="1" applyBorder="1"/>
    <xf numFmtId="0" fontId="27" fillId="0" borderId="0" xfId="2" applyFont="1" applyFill="1" applyBorder="1"/>
    <xf numFmtId="0" fontId="23" fillId="0" borderId="37" xfId="2" applyFont="1" applyFill="1" applyBorder="1" applyAlignment="1">
      <alignment horizontal="left" vertical="center" wrapText="1"/>
    </xf>
    <xf numFmtId="0" fontId="28" fillId="0" borderId="0" xfId="2" applyFont="1" applyFill="1" applyBorder="1"/>
    <xf numFmtId="0" fontId="23" fillId="0" borderId="37" xfId="2" applyFont="1" applyFill="1" applyBorder="1" applyAlignment="1">
      <alignment horizontal="left" vertical="center"/>
    </xf>
    <xf numFmtId="0" fontId="31" fillId="0" borderId="0" xfId="2" applyFont="1" applyFill="1"/>
    <xf numFmtId="49" fontId="20" fillId="0" borderId="0" xfId="2" applyNumberFormat="1" applyFont="1" applyFill="1"/>
    <xf numFmtId="0" fontId="20" fillId="0" borderId="0" xfId="2" applyFont="1" applyFill="1"/>
    <xf numFmtId="9" fontId="31" fillId="0" borderId="0" xfId="2" applyNumberFormat="1" applyFont="1" applyFill="1"/>
    <xf numFmtId="49" fontId="16" fillId="0" borderId="0" xfId="2" applyNumberFormat="1" applyFont="1" applyFill="1"/>
    <xf numFmtId="0" fontId="32" fillId="0" borderId="0" xfId="2" applyFont="1" applyFill="1"/>
    <xf numFmtId="49" fontId="23" fillId="0" borderId="9" xfId="2" applyNumberFormat="1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horizontal="center" vertical="center"/>
    </xf>
    <xf numFmtId="0" fontId="23" fillId="0" borderId="9" xfId="2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1" fontId="24" fillId="0" borderId="9" xfId="2" applyNumberFormat="1" applyFont="1" applyFill="1" applyBorder="1" applyAlignment="1">
      <alignment horizontal="center" vertical="center" wrapText="1"/>
    </xf>
    <xf numFmtId="9" fontId="24" fillId="0" borderId="9" xfId="1" applyFont="1" applyFill="1" applyBorder="1" applyAlignment="1">
      <alignment horizontal="center" vertical="center" wrapText="1"/>
    </xf>
    <xf numFmtId="49" fontId="23" fillId="0" borderId="11" xfId="2" applyNumberFormat="1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1" fontId="23" fillId="0" borderId="11" xfId="2" applyNumberFormat="1" applyFont="1" applyFill="1" applyBorder="1" applyAlignment="1">
      <alignment horizontal="center" vertical="center" wrapText="1"/>
    </xf>
    <xf numFmtId="9" fontId="23" fillId="0" borderId="11" xfId="1" applyFont="1" applyFill="1" applyBorder="1" applyAlignment="1">
      <alignment horizontal="center" vertical="center" wrapText="1"/>
    </xf>
    <xf numFmtId="49" fontId="23" fillId="0" borderId="17" xfId="2" applyNumberFormat="1" applyFont="1" applyFill="1" applyBorder="1" applyAlignment="1">
      <alignment horizontal="center" vertical="center"/>
    </xf>
    <xf numFmtId="0" fontId="23" fillId="0" borderId="17" xfId="2" applyFont="1" applyFill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" fontId="23" fillId="0" borderId="17" xfId="2" applyNumberFormat="1" applyFont="1" applyFill="1" applyBorder="1" applyAlignment="1">
      <alignment horizontal="center" vertical="center" wrapText="1"/>
    </xf>
    <xf numFmtId="9" fontId="23" fillId="0" borderId="17" xfId="1" applyFont="1" applyFill="1" applyBorder="1" applyAlignment="1">
      <alignment horizontal="center" vertical="center" wrapText="1"/>
    </xf>
    <xf numFmtId="49" fontId="23" fillId="0" borderId="19" xfId="2" applyNumberFormat="1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center" vertical="center"/>
    </xf>
    <xf numFmtId="0" fontId="23" fillId="0" borderId="19" xfId="2" applyNumberFormat="1" applyFont="1" applyFill="1" applyBorder="1" applyAlignment="1">
      <alignment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4" fillId="0" borderId="19" xfId="2" applyFont="1" applyFill="1" applyBorder="1" applyAlignment="1">
      <alignment horizontal="center" vertical="center"/>
    </xf>
    <xf numFmtId="1" fontId="24" fillId="0" borderId="19" xfId="2" applyNumberFormat="1" applyFont="1" applyFill="1" applyBorder="1" applyAlignment="1">
      <alignment horizontal="center" vertical="center" wrapText="1"/>
    </xf>
    <xf numFmtId="9" fontId="24" fillId="0" borderId="19" xfId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49" fontId="23" fillId="0" borderId="16" xfId="2" applyNumberFormat="1" applyFont="1" applyFill="1" applyBorder="1" applyAlignment="1">
      <alignment horizontal="center" vertical="center"/>
    </xf>
    <xf numFmtId="0" fontId="23" fillId="0" borderId="16" xfId="2" applyFont="1" applyFill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4" fillId="0" borderId="17" xfId="2" applyFont="1" applyFill="1" applyBorder="1" applyAlignment="1">
      <alignment horizontal="center" vertical="center"/>
    </xf>
    <xf numFmtId="0" fontId="23" fillId="0" borderId="11" xfId="2" applyNumberFormat="1" applyFont="1" applyFill="1" applyBorder="1" applyAlignment="1">
      <alignment vertical="center" wrapText="1"/>
    </xf>
    <xf numFmtId="0" fontId="24" fillId="0" borderId="11" xfId="2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1" fontId="23" fillId="0" borderId="19" xfId="2" applyNumberFormat="1" applyFont="1" applyFill="1" applyBorder="1" applyAlignment="1">
      <alignment horizontal="center" vertical="center" wrapText="1"/>
    </xf>
    <xf numFmtId="9" fontId="23" fillId="0" borderId="19" xfId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left" vertical="center" wrapText="1"/>
    </xf>
    <xf numFmtId="0" fontId="21" fillId="2" borderId="0" xfId="2" applyFont="1" applyFill="1"/>
    <xf numFmtId="0" fontId="23" fillId="2" borderId="11" xfId="2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9" fillId="2" borderId="9" xfId="2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9" fillId="2" borderId="11" xfId="2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9" fillId="2" borderId="19" xfId="2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1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/>
    </xf>
    <xf numFmtId="0" fontId="9" fillId="5" borderId="11" xfId="2" applyFont="1" applyFill="1" applyBorder="1" applyAlignment="1">
      <alignment horizontal="center" vertical="center"/>
    </xf>
    <xf numFmtId="1" fontId="9" fillId="5" borderId="11" xfId="2" applyNumberFormat="1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9" fillId="5" borderId="17" xfId="2" applyFont="1" applyFill="1" applyBorder="1" applyAlignment="1">
      <alignment horizontal="center" vertical="center"/>
    </xf>
    <xf numFmtId="1" fontId="9" fillId="5" borderId="17" xfId="2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 wrapText="1"/>
    </xf>
    <xf numFmtId="0" fontId="9" fillId="5" borderId="19" xfId="2" applyFont="1" applyFill="1" applyBorder="1" applyAlignment="1">
      <alignment horizontal="center" vertical="center"/>
    </xf>
    <xf numFmtId="1" fontId="9" fillId="5" borderId="19" xfId="2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vertical="center"/>
    </xf>
    <xf numFmtId="1" fontId="3" fillId="5" borderId="11" xfId="0" applyNumberFormat="1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2" fontId="3" fillId="5" borderId="19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5" fillId="0" borderId="38" xfId="0" applyFont="1" applyBorder="1"/>
    <xf numFmtId="164" fontId="35" fillId="0" borderId="39" xfId="0" applyNumberFormat="1" applyFont="1" applyBorder="1"/>
    <xf numFmtId="164" fontId="35" fillId="3" borderId="40" xfId="0" applyNumberFormat="1" applyFont="1" applyFill="1" applyBorder="1"/>
    <xf numFmtId="166" fontId="3" fillId="0" borderId="0" xfId="0" applyNumberFormat="1" applyFont="1" applyAlignment="1">
      <alignment horizontal="left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35" fillId="0" borderId="0" xfId="0" applyFont="1"/>
    <xf numFmtId="1" fontId="24" fillId="0" borderId="17" xfId="2" applyNumberFormat="1" applyFont="1" applyFill="1" applyBorder="1" applyAlignment="1">
      <alignment horizontal="center" vertical="center" wrapText="1"/>
    </xf>
    <xf numFmtId="9" fontId="24" fillId="0" borderId="17" xfId="1" applyFont="1" applyFill="1" applyBorder="1" applyAlignment="1">
      <alignment horizontal="center" vertical="center" wrapText="1"/>
    </xf>
    <xf numFmtId="0" fontId="0" fillId="0" borderId="4" xfId="0" applyBorder="1"/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49" fontId="23" fillId="2" borderId="37" xfId="2" applyNumberFormat="1" applyFont="1" applyFill="1" applyBorder="1" applyAlignment="1">
      <alignment horizontal="center"/>
    </xf>
    <xf numFmtId="0" fontId="23" fillId="2" borderId="37" xfId="2" applyFont="1" applyFill="1" applyBorder="1" applyAlignment="1">
      <alignment horizontal="center"/>
    </xf>
    <xf numFmtId="0" fontId="23" fillId="2" borderId="4" xfId="2" applyFont="1" applyFill="1" applyBorder="1" applyAlignment="1">
      <alignment horizontal="center"/>
    </xf>
    <xf numFmtId="49" fontId="23" fillId="2" borderId="4" xfId="2" applyNumberFormat="1" applyFont="1" applyFill="1" applyBorder="1" applyAlignment="1">
      <alignment horizontal="center"/>
    </xf>
    <xf numFmtId="49" fontId="23" fillId="2" borderId="36" xfId="2" applyNumberFormat="1" applyFont="1" applyFill="1" applyBorder="1" applyAlignment="1">
      <alignment horizontal="center"/>
    </xf>
    <xf numFmtId="0" fontId="23" fillId="2" borderId="36" xfId="2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49" fontId="23" fillId="0" borderId="12" xfId="2" applyNumberFormat="1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center" vertical="center"/>
    </xf>
    <xf numFmtId="0" fontId="23" fillId="0" borderId="12" xfId="2" applyNumberFormat="1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3" fillId="0" borderId="12" xfId="0" applyFont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1" fontId="24" fillId="0" borderId="11" xfId="2" applyNumberFormat="1" applyFont="1" applyFill="1" applyBorder="1" applyAlignment="1">
      <alignment horizontal="center" vertical="center" wrapText="1"/>
    </xf>
    <xf numFmtId="9" fontId="24" fillId="0" borderId="11" xfId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9" fontId="9" fillId="2" borderId="11" xfId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9" fontId="9" fillId="2" borderId="17" xfId="1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/>
    </xf>
    <xf numFmtId="0" fontId="23" fillId="2" borderId="7" xfId="2" applyFont="1" applyFill="1" applyBorder="1" applyAlignment="1">
      <alignment horizontal="center"/>
    </xf>
    <xf numFmtId="0" fontId="23" fillId="6" borderId="37" xfId="2" applyFont="1" applyFill="1" applyBorder="1" applyAlignment="1">
      <alignment horizontal="center"/>
    </xf>
    <xf numFmtId="49" fontId="23" fillId="5" borderId="36" xfId="2" applyNumberFormat="1" applyFont="1" applyFill="1" applyBorder="1" applyAlignment="1">
      <alignment horizontal="center"/>
    </xf>
    <xf numFmtId="0" fontId="23" fillId="5" borderId="36" xfId="2" applyFont="1" applyFill="1" applyBorder="1" applyAlignment="1">
      <alignment horizontal="left" vertical="center"/>
    </xf>
    <xf numFmtId="0" fontId="23" fillId="0" borderId="11" xfId="0" applyFont="1" applyBorder="1" applyAlignment="1">
      <alignment wrapText="1"/>
    </xf>
    <xf numFmtId="0" fontId="23" fillId="5" borderId="4" xfId="2" applyFont="1" applyFill="1" applyBorder="1" applyAlignment="1">
      <alignment horizontal="center" vertical="center"/>
    </xf>
    <xf numFmtId="0" fontId="23" fillId="5" borderId="4" xfId="2" applyFont="1" applyFill="1" applyBorder="1" applyAlignment="1">
      <alignment horizontal="center"/>
    </xf>
    <xf numFmtId="0" fontId="23" fillId="5" borderId="36" xfId="2" applyFont="1" applyFill="1" applyBorder="1" applyAlignment="1">
      <alignment horizontal="center"/>
    </xf>
    <xf numFmtId="49" fontId="23" fillId="5" borderId="4" xfId="2" applyNumberFormat="1" applyFont="1" applyFill="1" applyBorder="1" applyAlignment="1">
      <alignment horizontal="center"/>
    </xf>
    <xf numFmtId="0" fontId="23" fillId="5" borderId="4" xfId="2" applyFont="1" applyFill="1" applyBorder="1" applyAlignment="1">
      <alignment horizontal="left" vertical="center" wrapText="1"/>
    </xf>
    <xf numFmtId="49" fontId="23" fillId="5" borderId="37" xfId="2" applyNumberFormat="1" applyFont="1" applyFill="1" applyBorder="1" applyAlignment="1">
      <alignment horizontal="center"/>
    </xf>
    <xf numFmtId="0" fontId="23" fillId="5" borderId="7" xfId="2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5" borderId="21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4" fillId="5" borderId="19" xfId="2" applyFont="1" applyFill="1" applyBorder="1" applyAlignment="1">
      <alignment horizontal="center" vertical="center"/>
    </xf>
    <xf numFmtId="1" fontId="34" fillId="5" borderId="19" xfId="2" applyNumberFormat="1" applyFont="1" applyFill="1" applyBorder="1" applyAlignment="1">
      <alignment horizontal="center" vertical="center" wrapText="1"/>
    </xf>
    <xf numFmtId="0" fontId="34" fillId="5" borderId="17" xfId="2" applyFont="1" applyFill="1" applyBorder="1" applyAlignment="1">
      <alignment horizontal="center" vertical="center"/>
    </xf>
    <xf numFmtId="1" fontId="34" fillId="5" borderId="17" xfId="2" applyNumberFormat="1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vertical="center"/>
    </xf>
    <xf numFmtId="166" fontId="0" fillId="0" borderId="0" xfId="0" applyNumberFormat="1"/>
    <xf numFmtId="0" fontId="0" fillId="7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8" fillId="0" borderId="4" xfId="0" applyFont="1" applyBorder="1"/>
    <xf numFmtId="0" fontId="0" fillId="9" borderId="0" xfId="0" applyFill="1"/>
    <xf numFmtId="0" fontId="0" fillId="0" borderId="11" xfId="0" applyFill="1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1" xfId="0" applyFill="1" applyBorder="1" applyAlignment="1">
      <alignment horizontal="center"/>
    </xf>
    <xf numFmtId="0" fontId="0" fillId="7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2" fontId="1" fillId="7" borderId="11" xfId="0" applyNumberFormat="1" applyFont="1" applyFill="1" applyBorder="1" applyAlignment="1">
      <alignment horizontal="center" vertical="center"/>
    </xf>
    <xf numFmtId="2" fontId="1" fillId="7" borderId="11" xfId="0" applyNumberFormat="1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 wrapText="1"/>
    </xf>
    <xf numFmtId="2" fontId="0" fillId="7" borderId="11" xfId="0" applyNumberFormat="1" applyFill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9" xfId="0" applyFont="1" applyBorder="1" applyAlignment="1">
      <alignment horizontal="center" vertical="center"/>
    </xf>
    <xf numFmtId="49" fontId="22" fillId="0" borderId="37" xfId="2" applyNumberFormat="1" applyFont="1" applyFill="1" applyBorder="1" applyAlignment="1">
      <alignment horizontal="center" vertical="center"/>
    </xf>
    <xf numFmtId="49" fontId="22" fillId="0" borderId="4" xfId="2" applyNumberFormat="1" applyFont="1" applyFill="1" applyBorder="1" applyAlignment="1">
      <alignment horizontal="center" vertical="center"/>
    </xf>
    <xf numFmtId="49" fontId="22" fillId="0" borderId="36" xfId="2" applyNumberFormat="1" applyFont="1" applyFill="1" applyBorder="1" applyAlignment="1">
      <alignment horizontal="center" vertical="center"/>
    </xf>
    <xf numFmtId="0" fontId="22" fillId="0" borderId="37" xfId="2" applyFont="1" applyFill="1" applyBorder="1" applyAlignment="1">
      <alignment horizontal="center" vertical="center"/>
    </xf>
    <xf numFmtId="0" fontId="22" fillId="0" borderId="4" xfId="2" applyFont="1" applyFill="1" applyBorder="1" applyAlignment="1">
      <alignment horizontal="center" vertical="center"/>
    </xf>
    <xf numFmtId="0" fontId="22" fillId="0" borderId="36" xfId="2" applyFont="1" applyFill="1" applyBorder="1" applyAlignment="1">
      <alignment horizontal="center" vertical="center"/>
    </xf>
    <xf numFmtId="0" fontId="19" fillId="0" borderId="4" xfId="2" applyNumberFormat="1" applyFont="1" applyFill="1" applyBorder="1" applyAlignment="1">
      <alignment horizontal="center" vertical="center" wrapText="1"/>
    </xf>
    <xf numFmtId="0" fontId="16" fillId="0" borderId="0" xfId="2" applyFont="1" applyFill="1" applyAlignment="1">
      <alignment horizontal="center"/>
    </xf>
    <xf numFmtId="49" fontId="19" fillId="0" borderId="4" xfId="2" applyNumberFormat="1" applyFont="1" applyFill="1" applyBorder="1" applyAlignment="1">
      <alignment horizontal="center" vertical="center" wrapText="1"/>
    </xf>
    <xf numFmtId="49" fontId="20" fillId="0" borderId="4" xfId="2" applyNumberFormat="1" applyFont="1" applyFill="1" applyBorder="1" applyAlignment="1">
      <alignment horizontal="center" vertical="center" wrapText="1"/>
    </xf>
    <xf numFmtId="0" fontId="20" fillId="0" borderId="4" xfId="2" applyNumberFormat="1" applyFont="1" applyFill="1" applyBorder="1" applyAlignment="1">
      <alignment horizontal="center" vertical="center" wrapText="1"/>
    </xf>
    <xf numFmtId="49" fontId="22" fillId="0" borderId="7" xfId="2" applyNumberFormat="1" applyFont="1" applyFill="1" applyBorder="1" applyAlignment="1">
      <alignment horizontal="center" vertical="center"/>
    </xf>
    <xf numFmtId="49" fontId="22" fillId="0" borderId="5" xfId="2" applyNumberFormat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0" fontId="22" fillId="0" borderId="11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49" fontId="22" fillId="0" borderId="2" xfId="2" applyNumberFormat="1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horizontal="center" vertical="center"/>
    </xf>
    <xf numFmtId="0" fontId="22" fillId="0" borderId="16" xfId="2" applyFont="1" applyFill="1" applyBorder="1" applyAlignment="1">
      <alignment horizontal="center" vertical="center"/>
    </xf>
    <xf numFmtId="49" fontId="22" fillId="0" borderId="23" xfId="2" applyNumberFormat="1" applyFont="1" applyFill="1" applyBorder="1" applyAlignment="1">
      <alignment horizontal="center" vertical="center"/>
    </xf>
    <xf numFmtId="0" fontId="22" fillId="0" borderId="19" xfId="2" applyFont="1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7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center" wrapText="1"/>
    </xf>
    <xf numFmtId="0" fontId="22" fillId="2" borderId="17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/>
    </xf>
    <xf numFmtId="0" fontId="22" fillId="2" borderId="11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0" borderId="9" xfId="2" applyFont="1" applyFill="1" applyBorder="1" applyAlignment="1">
      <alignment horizontal="center" vertical="center"/>
    </xf>
    <xf numFmtId="2" fontId="1" fillId="7" borderId="11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 shrinkToFit="1"/>
    </xf>
    <xf numFmtId="0" fontId="39" fillId="0" borderId="7" xfId="0" applyFont="1" applyFill="1" applyBorder="1" applyAlignment="1">
      <alignment horizontal="center" vertical="center" wrapText="1" shrinkToFit="1"/>
    </xf>
    <xf numFmtId="0" fontId="0" fillId="7" borderId="11" xfId="0" applyFill="1" applyBorder="1" applyAlignment="1">
      <alignment horizontal="center"/>
    </xf>
    <xf numFmtId="0" fontId="0" fillId="7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_ГРАФИК технического освидетельствования ЭО ПТЭС ОАО НТЭК" xfId="2" xr:uid="{F725D1FE-DF30-49AC-AAE6-F7537962B2C6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6"/>
  <sheetViews>
    <sheetView tabSelected="1" workbookViewId="0">
      <pane xSplit="2" ySplit="10" topLeftCell="C293" activePane="bottomRight" state="frozen"/>
      <selection pane="topRight" activeCell="C1" sqref="C1"/>
      <selection pane="bottomLeft" activeCell="A12" sqref="A12"/>
      <selection pane="bottomRight" activeCell="F300" sqref="F300"/>
    </sheetView>
  </sheetViews>
  <sheetFormatPr defaultRowHeight="12.75" x14ac:dyDescent="0.2"/>
  <cols>
    <col min="1" max="1" width="6.5703125" style="1" customWidth="1"/>
    <col min="2" max="2" width="41.7109375" style="1" customWidth="1"/>
    <col min="3" max="3" width="39" style="1" customWidth="1"/>
    <col min="4" max="4" width="12.42578125" style="1" customWidth="1"/>
    <col min="5" max="5" width="12.140625" style="1" customWidth="1"/>
    <col min="6" max="6" width="13.7109375" style="1" customWidth="1"/>
    <col min="7" max="7" width="27.140625" style="1" customWidth="1"/>
    <col min="8" max="8" width="35.7109375" style="1" customWidth="1"/>
    <col min="9" max="9" width="25.140625" style="1" customWidth="1"/>
    <col min="10" max="10" width="12.5703125" style="1" customWidth="1"/>
    <col min="11" max="11" width="11.28515625" style="1" customWidth="1"/>
    <col min="12" max="12" width="12.7109375" style="1" customWidth="1"/>
    <col min="13" max="13" width="10.42578125" style="1" customWidth="1"/>
    <col min="14" max="14" width="13.5703125" style="1" customWidth="1"/>
    <col min="15" max="15" width="8" style="1" customWidth="1"/>
    <col min="16" max="253" width="9.140625" style="1"/>
    <col min="254" max="254" width="6.5703125" style="1" customWidth="1"/>
    <col min="255" max="255" width="30.85546875" style="1" customWidth="1"/>
    <col min="256" max="256" width="26.42578125" style="1" customWidth="1"/>
    <col min="257" max="257" width="12.42578125" style="1" customWidth="1"/>
    <col min="258" max="258" width="12.140625" style="1" customWidth="1"/>
    <col min="259" max="259" width="13.7109375" style="1" customWidth="1"/>
    <col min="260" max="260" width="27.140625" style="1" customWidth="1"/>
    <col min="261" max="261" width="35.7109375" style="1" customWidth="1"/>
    <col min="262" max="262" width="25.140625" style="1" customWidth="1"/>
    <col min="263" max="263" width="12.5703125" style="1" customWidth="1"/>
    <col min="264" max="264" width="11.28515625" style="1" customWidth="1"/>
    <col min="265" max="265" width="12.7109375" style="1" customWidth="1"/>
    <col min="266" max="266" width="10.42578125" style="1" customWidth="1"/>
    <col min="267" max="267" width="13.5703125" style="1" customWidth="1"/>
    <col min="268" max="268" width="0" style="1" hidden="1" customWidth="1"/>
    <col min="269" max="269" width="11.42578125" style="1" customWidth="1"/>
    <col min="270" max="270" width="24" style="1" customWidth="1"/>
    <col min="271" max="271" width="13.5703125" style="1" customWidth="1"/>
    <col min="272" max="509" width="9.140625" style="1"/>
    <col min="510" max="510" width="6.5703125" style="1" customWidth="1"/>
    <col min="511" max="511" width="30.85546875" style="1" customWidth="1"/>
    <col min="512" max="512" width="26.42578125" style="1" customWidth="1"/>
    <col min="513" max="513" width="12.42578125" style="1" customWidth="1"/>
    <col min="514" max="514" width="12.140625" style="1" customWidth="1"/>
    <col min="515" max="515" width="13.7109375" style="1" customWidth="1"/>
    <col min="516" max="516" width="27.140625" style="1" customWidth="1"/>
    <col min="517" max="517" width="35.7109375" style="1" customWidth="1"/>
    <col min="518" max="518" width="25.140625" style="1" customWidth="1"/>
    <col min="519" max="519" width="12.5703125" style="1" customWidth="1"/>
    <col min="520" max="520" width="11.28515625" style="1" customWidth="1"/>
    <col min="521" max="521" width="12.7109375" style="1" customWidth="1"/>
    <col min="522" max="522" width="10.42578125" style="1" customWidth="1"/>
    <col min="523" max="523" width="13.5703125" style="1" customWidth="1"/>
    <col min="524" max="524" width="0" style="1" hidden="1" customWidth="1"/>
    <col min="525" max="525" width="11.42578125" style="1" customWidth="1"/>
    <col min="526" max="526" width="24" style="1" customWidth="1"/>
    <col min="527" max="527" width="13.5703125" style="1" customWidth="1"/>
    <col min="528" max="765" width="9.140625" style="1"/>
    <col min="766" max="766" width="6.5703125" style="1" customWidth="1"/>
    <col min="767" max="767" width="30.85546875" style="1" customWidth="1"/>
    <col min="768" max="768" width="26.42578125" style="1" customWidth="1"/>
    <col min="769" max="769" width="12.42578125" style="1" customWidth="1"/>
    <col min="770" max="770" width="12.140625" style="1" customWidth="1"/>
    <col min="771" max="771" width="13.7109375" style="1" customWidth="1"/>
    <col min="772" max="772" width="27.140625" style="1" customWidth="1"/>
    <col min="773" max="773" width="35.7109375" style="1" customWidth="1"/>
    <col min="774" max="774" width="25.140625" style="1" customWidth="1"/>
    <col min="775" max="775" width="12.5703125" style="1" customWidth="1"/>
    <col min="776" max="776" width="11.28515625" style="1" customWidth="1"/>
    <col min="777" max="777" width="12.7109375" style="1" customWidth="1"/>
    <col min="778" max="778" width="10.42578125" style="1" customWidth="1"/>
    <col min="779" max="779" width="13.5703125" style="1" customWidth="1"/>
    <col min="780" max="780" width="0" style="1" hidden="1" customWidth="1"/>
    <col min="781" max="781" width="11.42578125" style="1" customWidth="1"/>
    <col min="782" max="782" width="24" style="1" customWidth="1"/>
    <col min="783" max="783" width="13.5703125" style="1" customWidth="1"/>
    <col min="784" max="1021" width="9.140625" style="1"/>
    <col min="1022" max="1022" width="6.5703125" style="1" customWidth="1"/>
    <col min="1023" max="1023" width="30.85546875" style="1" customWidth="1"/>
    <col min="1024" max="1024" width="26.42578125" style="1" customWidth="1"/>
    <col min="1025" max="1025" width="12.42578125" style="1" customWidth="1"/>
    <col min="1026" max="1026" width="12.140625" style="1" customWidth="1"/>
    <col min="1027" max="1027" width="13.7109375" style="1" customWidth="1"/>
    <col min="1028" max="1028" width="27.140625" style="1" customWidth="1"/>
    <col min="1029" max="1029" width="35.7109375" style="1" customWidth="1"/>
    <col min="1030" max="1030" width="25.140625" style="1" customWidth="1"/>
    <col min="1031" max="1031" width="12.5703125" style="1" customWidth="1"/>
    <col min="1032" max="1032" width="11.28515625" style="1" customWidth="1"/>
    <col min="1033" max="1033" width="12.7109375" style="1" customWidth="1"/>
    <col min="1034" max="1034" width="10.42578125" style="1" customWidth="1"/>
    <col min="1035" max="1035" width="13.5703125" style="1" customWidth="1"/>
    <col min="1036" max="1036" width="0" style="1" hidden="1" customWidth="1"/>
    <col min="1037" max="1037" width="11.42578125" style="1" customWidth="1"/>
    <col min="1038" max="1038" width="24" style="1" customWidth="1"/>
    <col min="1039" max="1039" width="13.5703125" style="1" customWidth="1"/>
    <col min="1040" max="1277" width="9.140625" style="1"/>
    <col min="1278" max="1278" width="6.5703125" style="1" customWidth="1"/>
    <col min="1279" max="1279" width="30.85546875" style="1" customWidth="1"/>
    <col min="1280" max="1280" width="26.42578125" style="1" customWidth="1"/>
    <col min="1281" max="1281" width="12.42578125" style="1" customWidth="1"/>
    <col min="1282" max="1282" width="12.140625" style="1" customWidth="1"/>
    <col min="1283" max="1283" width="13.7109375" style="1" customWidth="1"/>
    <col min="1284" max="1284" width="27.140625" style="1" customWidth="1"/>
    <col min="1285" max="1285" width="35.7109375" style="1" customWidth="1"/>
    <col min="1286" max="1286" width="25.140625" style="1" customWidth="1"/>
    <col min="1287" max="1287" width="12.5703125" style="1" customWidth="1"/>
    <col min="1288" max="1288" width="11.28515625" style="1" customWidth="1"/>
    <col min="1289" max="1289" width="12.7109375" style="1" customWidth="1"/>
    <col min="1290" max="1290" width="10.42578125" style="1" customWidth="1"/>
    <col min="1291" max="1291" width="13.5703125" style="1" customWidth="1"/>
    <col min="1292" max="1292" width="0" style="1" hidden="1" customWidth="1"/>
    <col min="1293" max="1293" width="11.42578125" style="1" customWidth="1"/>
    <col min="1294" max="1294" width="24" style="1" customWidth="1"/>
    <col min="1295" max="1295" width="13.5703125" style="1" customWidth="1"/>
    <col min="1296" max="1533" width="9.140625" style="1"/>
    <col min="1534" max="1534" width="6.5703125" style="1" customWidth="1"/>
    <col min="1535" max="1535" width="30.85546875" style="1" customWidth="1"/>
    <col min="1536" max="1536" width="26.42578125" style="1" customWidth="1"/>
    <col min="1537" max="1537" width="12.42578125" style="1" customWidth="1"/>
    <col min="1538" max="1538" width="12.140625" style="1" customWidth="1"/>
    <col min="1539" max="1539" width="13.7109375" style="1" customWidth="1"/>
    <col min="1540" max="1540" width="27.140625" style="1" customWidth="1"/>
    <col min="1541" max="1541" width="35.7109375" style="1" customWidth="1"/>
    <col min="1542" max="1542" width="25.140625" style="1" customWidth="1"/>
    <col min="1543" max="1543" width="12.5703125" style="1" customWidth="1"/>
    <col min="1544" max="1544" width="11.28515625" style="1" customWidth="1"/>
    <col min="1545" max="1545" width="12.7109375" style="1" customWidth="1"/>
    <col min="1546" max="1546" width="10.42578125" style="1" customWidth="1"/>
    <col min="1547" max="1547" width="13.5703125" style="1" customWidth="1"/>
    <col min="1548" max="1548" width="0" style="1" hidden="1" customWidth="1"/>
    <col min="1549" max="1549" width="11.42578125" style="1" customWidth="1"/>
    <col min="1550" max="1550" width="24" style="1" customWidth="1"/>
    <col min="1551" max="1551" width="13.5703125" style="1" customWidth="1"/>
    <col min="1552" max="1789" width="9.140625" style="1"/>
    <col min="1790" max="1790" width="6.5703125" style="1" customWidth="1"/>
    <col min="1791" max="1791" width="30.85546875" style="1" customWidth="1"/>
    <col min="1792" max="1792" width="26.42578125" style="1" customWidth="1"/>
    <col min="1793" max="1793" width="12.42578125" style="1" customWidth="1"/>
    <col min="1794" max="1794" width="12.140625" style="1" customWidth="1"/>
    <col min="1795" max="1795" width="13.7109375" style="1" customWidth="1"/>
    <col min="1796" max="1796" width="27.140625" style="1" customWidth="1"/>
    <col min="1797" max="1797" width="35.7109375" style="1" customWidth="1"/>
    <col min="1798" max="1798" width="25.140625" style="1" customWidth="1"/>
    <col min="1799" max="1799" width="12.5703125" style="1" customWidth="1"/>
    <col min="1800" max="1800" width="11.28515625" style="1" customWidth="1"/>
    <col min="1801" max="1801" width="12.7109375" style="1" customWidth="1"/>
    <col min="1802" max="1802" width="10.42578125" style="1" customWidth="1"/>
    <col min="1803" max="1803" width="13.5703125" style="1" customWidth="1"/>
    <col min="1804" max="1804" width="0" style="1" hidden="1" customWidth="1"/>
    <col min="1805" max="1805" width="11.42578125" style="1" customWidth="1"/>
    <col min="1806" max="1806" width="24" style="1" customWidth="1"/>
    <col min="1807" max="1807" width="13.5703125" style="1" customWidth="1"/>
    <col min="1808" max="2045" width="9.140625" style="1"/>
    <col min="2046" max="2046" width="6.5703125" style="1" customWidth="1"/>
    <col min="2047" max="2047" width="30.85546875" style="1" customWidth="1"/>
    <col min="2048" max="2048" width="26.42578125" style="1" customWidth="1"/>
    <col min="2049" max="2049" width="12.42578125" style="1" customWidth="1"/>
    <col min="2050" max="2050" width="12.140625" style="1" customWidth="1"/>
    <col min="2051" max="2051" width="13.7109375" style="1" customWidth="1"/>
    <col min="2052" max="2052" width="27.140625" style="1" customWidth="1"/>
    <col min="2053" max="2053" width="35.7109375" style="1" customWidth="1"/>
    <col min="2054" max="2054" width="25.140625" style="1" customWidth="1"/>
    <col min="2055" max="2055" width="12.5703125" style="1" customWidth="1"/>
    <col min="2056" max="2056" width="11.28515625" style="1" customWidth="1"/>
    <col min="2057" max="2057" width="12.7109375" style="1" customWidth="1"/>
    <col min="2058" max="2058" width="10.42578125" style="1" customWidth="1"/>
    <col min="2059" max="2059" width="13.5703125" style="1" customWidth="1"/>
    <col min="2060" max="2060" width="0" style="1" hidden="1" customWidth="1"/>
    <col min="2061" max="2061" width="11.42578125" style="1" customWidth="1"/>
    <col min="2062" max="2062" width="24" style="1" customWidth="1"/>
    <col min="2063" max="2063" width="13.5703125" style="1" customWidth="1"/>
    <col min="2064" max="2301" width="9.140625" style="1"/>
    <col min="2302" max="2302" width="6.5703125" style="1" customWidth="1"/>
    <col min="2303" max="2303" width="30.85546875" style="1" customWidth="1"/>
    <col min="2304" max="2304" width="26.42578125" style="1" customWidth="1"/>
    <col min="2305" max="2305" width="12.42578125" style="1" customWidth="1"/>
    <col min="2306" max="2306" width="12.140625" style="1" customWidth="1"/>
    <col min="2307" max="2307" width="13.7109375" style="1" customWidth="1"/>
    <col min="2308" max="2308" width="27.140625" style="1" customWidth="1"/>
    <col min="2309" max="2309" width="35.7109375" style="1" customWidth="1"/>
    <col min="2310" max="2310" width="25.140625" style="1" customWidth="1"/>
    <col min="2311" max="2311" width="12.5703125" style="1" customWidth="1"/>
    <col min="2312" max="2312" width="11.28515625" style="1" customWidth="1"/>
    <col min="2313" max="2313" width="12.7109375" style="1" customWidth="1"/>
    <col min="2314" max="2314" width="10.42578125" style="1" customWidth="1"/>
    <col min="2315" max="2315" width="13.5703125" style="1" customWidth="1"/>
    <col min="2316" max="2316" width="0" style="1" hidden="1" customWidth="1"/>
    <col min="2317" max="2317" width="11.42578125" style="1" customWidth="1"/>
    <col min="2318" max="2318" width="24" style="1" customWidth="1"/>
    <col min="2319" max="2319" width="13.5703125" style="1" customWidth="1"/>
    <col min="2320" max="2557" width="9.140625" style="1"/>
    <col min="2558" max="2558" width="6.5703125" style="1" customWidth="1"/>
    <col min="2559" max="2559" width="30.85546875" style="1" customWidth="1"/>
    <col min="2560" max="2560" width="26.42578125" style="1" customWidth="1"/>
    <col min="2561" max="2561" width="12.42578125" style="1" customWidth="1"/>
    <col min="2562" max="2562" width="12.140625" style="1" customWidth="1"/>
    <col min="2563" max="2563" width="13.7109375" style="1" customWidth="1"/>
    <col min="2564" max="2564" width="27.140625" style="1" customWidth="1"/>
    <col min="2565" max="2565" width="35.7109375" style="1" customWidth="1"/>
    <col min="2566" max="2566" width="25.140625" style="1" customWidth="1"/>
    <col min="2567" max="2567" width="12.5703125" style="1" customWidth="1"/>
    <col min="2568" max="2568" width="11.28515625" style="1" customWidth="1"/>
    <col min="2569" max="2569" width="12.7109375" style="1" customWidth="1"/>
    <col min="2570" max="2570" width="10.42578125" style="1" customWidth="1"/>
    <col min="2571" max="2571" width="13.5703125" style="1" customWidth="1"/>
    <col min="2572" max="2572" width="0" style="1" hidden="1" customWidth="1"/>
    <col min="2573" max="2573" width="11.42578125" style="1" customWidth="1"/>
    <col min="2574" max="2574" width="24" style="1" customWidth="1"/>
    <col min="2575" max="2575" width="13.5703125" style="1" customWidth="1"/>
    <col min="2576" max="2813" width="9.140625" style="1"/>
    <col min="2814" max="2814" width="6.5703125" style="1" customWidth="1"/>
    <col min="2815" max="2815" width="30.85546875" style="1" customWidth="1"/>
    <col min="2816" max="2816" width="26.42578125" style="1" customWidth="1"/>
    <col min="2817" max="2817" width="12.42578125" style="1" customWidth="1"/>
    <col min="2818" max="2818" width="12.140625" style="1" customWidth="1"/>
    <col min="2819" max="2819" width="13.7109375" style="1" customWidth="1"/>
    <col min="2820" max="2820" width="27.140625" style="1" customWidth="1"/>
    <col min="2821" max="2821" width="35.7109375" style="1" customWidth="1"/>
    <col min="2822" max="2822" width="25.140625" style="1" customWidth="1"/>
    <col min="2823" max="2823" width="12.5703125" style="1" customWidth="1"/>
    <col min="2824" max="2824" width="11.28515625" style="1" customWidth="1"/>
    <col min="2825" max="2825" width="12.7109375" style="1" customWidth="1"/>
    <col min="2826" max="2826" width="10.42578125" style="1" customWidth="1"/>
    <col min="2827" max="2827" width="13.5703125" style="1" customWidth="1"/>
    <col min="2828" max="2828" width="0" style="1" hidden="1" customWidth="1"/>
    <col min="2829" max="2829" width="11.42578125" style="1" customWidth="1"/>
    <col min="2830" max="2830" width="24" style="1" customWidth="1"/>
    <col min="2831" max="2831" width="13.5703125" style="1" customWidth="1"/>
    <col min="2832" max="3069" width="9.140625" style="1"/>
    <col min="3070" max="3070" width="6.5703125" style="1" customWidth="1"/>
    <col min="3071" max="3071" width="30.85546875" style="1" customWidth="1"/>
    <col min="3072" max="3072" width="26.42578125" style="1" customWidth="1"/>
    <col min="3073" max="3073" width="12.42578125" style="1" customWidth="1"/>
    <col min="3074" max="3074" width="12.140625" style="1" customWidth="1"/>
    <col min="3075" max="3075" width="13.7109375" style="1" customWidth="1"/>
    <col min="3076" max="3076" width="27.140625" style="1" customWidth="1"/>
    <col min="3077" max="3077" width="35.7109375" style="1" customWidth="1"/>
    <col min="3078" max="3078" width="25.140625" style="1" customWidth="1"/>
    <col min="3079" max="3079" width="12.5703125" style="1" customWidth="1"/>
    <col min="3080" max="3080" width="11.28515625" style="1" customWidth="1"/>
    <col min="3081" max="3081" width="12.7109375" style="1" customWidth="1"/>
    <col min="3082" max="3082" width="10.42578125" style="1" customWidth="1"/>
    <col min="3083" max="3083" width="13.5703125" style="1" customWidth="1"/>
    <col min="3084" max="3084" width="0" style="1" hidden="1" customWidth="1"/>
    <col min="3085" max="3085" width="11.42578125" style="1" customWidth="1"/>
    <col min="3086" max="3086" width="24" style="1" customWidth="1"/>
    <col min="3087" max="3087" width="13.5703125" style="1" customWidth="1"/>
    <col min="3088" max="3325" width="9.140625" style="1"/>
    <col min="3326" max="3326" width="6.5703125" style="1" customWidth="1"/>
    <col min="3327" max="3327" width="30.85546875" style="1" customWidth="1"/>
    <col min="3328" max="3328" width="26.42578125" style="1" customWidth="1"/>
    <col min="3329" max="3329" width="12.42578125" style="1" customWidth="1"/>
    <col min="3330" max="3330" width="12.140625" style="1" customWidth="1"/>
    <col min="3331" max="3331" width="13.7109375" style="1" customWidth="1"/>
    <col min="3332" max="3332" width="27.140625" style="1" customWidth="1"/>
    <col min="3333" max="3333" width="35.7109375" style="1" customWidth="1"/>
    <col min="3334" max="3334" width="25.140625" style="1" customWidth="1"/>
    <col min="3335" max="3335" width="12.5703125" style="1" customWidth="1"/>
    <col min="3336" max="3336" width="11.28515625" style="1" customWidth="1"/>
    <col min="3337" max="3337" width="12.7109375" style="1" customWidth="1"/>
    <col min="3338" max="3338" width="10.42578125" style="1" customWidth="1"/>
    <col min="3339" max="3339" width="13.5703125" style="1" customWidth="1"/>
    <col min="3340" max="3340" width="0" style="1" hidden="1" customWidth="1"/>
    <col min="3341" max="3341" width="11.42578125" style="1" customWidth="1"/>
    <col min="3342" max="3342" width="24" style="1" customWidth="1"/>
    <col min="3343" max="3343" width="13.5703125" style="1" customWidth="1"/>
    <col min="3344" max="3581" width="9.140625" style="1"/>
    <col min="3582" max="3582" width="6.5703125" style="1" customWidth="1"/>
    <col min="3583" max="3583" width="30.85546875" style="1" customWidth="1"/>
    <col min="3584" max="3584" width="26.42578125" style="1" customWidth="1"/>
    <col min="3585" max="3585" width="12.42578125" style="1" customWidth="1"/>
    <col min="3586" max="3586" width="12.140625" style="1" customWidth="1"/>
    <col min="3587" max="3587" width="13.7109375" style="1" customWidth="1"/>
    <col min="3588" max="3588" width="27.140625" style="1" customWidth="1"/>
    <col min="3589" max="3589" width="35.7109375" style="1" customWidth="1"/>
    <col min="3590" max="3590" width="25.140625" style="1" customWidth="1"/>
    <col min="3591" max="3591" width="12.5703125" style="1" customWidth="1"/>
    <col min="3592" max="3592" width="11.28515625" style="1" customWidth="1"/>
    <col min="3593" max="3593" width="12.7109375" style="1" customWidth="1"/>
    <col min="3594" max="3594" width="10.42578125" style="1" customWidth="1"/>
    <col min="3595" max="3595" width="13.5703125" style="1" customWidth="1"/>
    <col min="3596" max="3596" width="0" style="1" hidden="1" customWidth="1"/>
    <col min="3597" max="3597" width="11.42578125" style="1" customWidth="1"/>
    <col min="3598" max="3598" width="24" style="1" customWidth="1"/>
    <col min="3599" max="3599" width="13.5703125" style="1" customWidth="1"/>
    <col min="3600" max="3837" width="9.140625" style="1"/>
    <col min="3838" max="3838" width="6.5703125" style="1" customWidth="1"/>
    <col min="3839" max="3839" width="30.85546875" style="1" customWidth="1"/>
    <col min="3840" max="3840" width="26.42578125" style="1" customWidth="1"/>
    <col min="3841" max="3841" width="12.42578125" style="1" customWidth="1"/>
    <col min="3842" max="3842" width="12.140625" style="1" customWidth="1"/>
    <col min="3843" max="3843" width="13.7109375" style="1" customWidth="1"/>
    <col min="3844" max="3844" width="27.140625" style="1" customWidth="1"/>
    <col min="3845" max="3845" width="35.7109375" style="1" customWidth="1"/>
    <col min="3846" max="3846" width="25.140625" style="1" customWidth="1"/>
    <col min="3847" max="3847" width="12.5703125" style="1" customWidth="1"/>
    <col min="3848" max="3848" width="11.28515625" style="1" customWidth="1"/>
    <col min="3849" max="3849" width="12.7109375" style="1" customWidth="1"/>
    <col min="3850" max="3850" width="10.42578125" style="1" customWidth="1"/>
    <col min="3851" max="3851" width="13.5703125" style="1" customWidth="1"/>
    <col min="3852" max="3852" width="0" style="1" hidden="1" customWidth="1"/>
    <col min="3853" max="3853" width="11.42578125" style="1" customWidth="1"/>
    <col min="3854" max="3854" width="24" style="1" customWidth="1"/>
    <col min="3855" max="3855" width="13.5703125" style="1" customWidth="1"/>
    <col min="3856" max="4093" width="9.140625" style="1"/>
    <col min="4094" max="4094" width="6.5703125" style="1" customWidth="1"/>
    <col min="4095" max="4095" width="30.85546875" style="1" customWidth="1"/>
    <col min="4096" max="4096" width="26.42578125" style="1" customWidth="1"/>
    <col min="4097" max="4097" width="12.42578125" style="1" customWidth="1"/>
    <col min="4098" max="4098" width="12.140625" style="1" customWidth="1"/>
    <col min="4099" max="4099" width="13.7109375" style="1" customWidth="1"/>
    <col min="4100" max="4100" width="27.140625" style="1" customWidth="1"/>
    <col min="4101" max="4101" width="35.7109375" style="1" customWidth="1"/>
    <col min="4102" max="4102" width="25.140625" style="1" customWidth="1"/>
    <col min="4103" max="4103" width="12.5703125" style="1" customWidth="1"/>
    <col min="4104" max="4104" width="11.28515625" style="1" customWidth="1"/>
    <col min="4105" max="4105" width="12.7109375" style="1" customWidth="1"/>
    <col min="4106" max="4106" width="10.42578125" style="1" customWidth="1"/>
    <col min="4107" max="4107" width="13.5703125" style="1" customWidth="1"/>
    <col min="4108" max="4108" width="0" style="1" hidden="1" customWidth="1"/>
    <col min="4109" max="4109" width="11.42578125" style="1" customWidth="1"/>
    <col min="4110" max="4110" width="24" style="1" customWidth="1"/>
    <col min="4111" max="4111" width="13.5703125" style="1" customWidth="1"/>
    <col min="4112" max="4349" width="9.140625" style="1"/>
    <col min="4350" max="4350" width="6.5703125" style="1" customWidth="1"/>
    <col min="4351" max="4351" width="30.85546875" style="1" customWidth="1"/>
    <col min="4352" max="4352" width="26.42578125" style="1" customWidth="1"/>
    <col min="4353" max="4353" width="12.42578125" style="1" customWidth="1"/>
    <col min="4354" max="4354" width="12.140625" style="1" customWidth="1"/>
    <col min="4355" max="4355" width="13.7109375" style="1" customWidth="1"/>
    <col min="4356" max="4356" width="27.140625" style="1" customWidth="1"/>
    <col min="4357" max="4357" width="35.7109375" style="1" customWidth="1"/>
    <col min="4358" max="4358" width="25.140625" style="1" customWidth="1"/>
    <col min="4359" max="4359" width="12.5703125" style="1" customWidth="1"/>
    <col min="4360" max="4360" width="11.28515625" style="1" customWidth="1"/>
    <col min="4361" max="4361" width="12.7109375" style="1" customWidth="1"/>
    <col min="4362" max="4362" width="10.42578125" style="1" customWidth="1"/>
    <col min="4363" max="4363" width="13.5703125" style="1" customWidth="1"/>
    <col min="4364" max="4364" width="0" style="1" hidden="1" customWidth="1"/>
    <col min="4365" max="4365" width="11.42578125" style="1" customWidth="1"/>
    <col min="4366" max="4366" width="24" style="1" customWidth="1"/>
    <col min="4367" max="4367" width="13.5703125" style="1" customWidth="1"/>
    <col min="4368" max="4605" width="9.140625" style="1"/>
    <col min="4606" max="4606" width="6.5703125" style="1" customWidth="1"/>
    <col min="4607" max="4607" width="30.85546875" style="1" customWidth="1"/>
    <col min="4608" max="4608" width="26.42578125" style="1" customWidth="1"/>
    <col min="4609" max="4609" width="12.42578125" style="1" customWidth="1"/>
    <col min="4610" max="4610" width="12.140625" style="1" customWidth="1"/>
    <col min="4611" max="4611" width="13.7109375" style="1" customWidth="1"/>
    <col min="4612" max="4612" width="27.140625" style="1" customWidth="1"/>
    <col min="4613" max="4613" width="35.7109375" style="1" customWidth="1"/>
    <col min="4614" max="4614" width="25.140625" style="1" customWidth="1"/>
    <col min="4615" max="4615" width="12.5703125" style="1" customWidth="1"/>
    <col min="4616" max="4616" width="11.28515625" style="1" customWidth="1"/>
    <col min="4617" max="4617" width="12.7109375" style="1" customWidth="1"/>
    <col min="4618" max="4618" width="10.42578125" style="1" customWidth="1"/>
    <col min="4619" max="4619" width="13.5703125" style="1" customWidth="1"/>
    <col min="4620" max="4620" width="0" style="1" hidden="1" customWidth="1"/>
    <col min="4621" max="4621" width="11.42578125" style="1" customWidth="1"/>
    <col min="4622" max="4622" width="24" style="1" customWidth="1"/>
    <col min="4623" max="4623" width="13.5703125" style="1" customWidth="1"/>
    <col min="4624" max="4861" width="9.140625" style="1"/>
    <col min="4862" max="4862" width="6.5703125" style="1" customWidth="1"/>
    <col min="4863" max="4863" width="30.85546875" style="1" customWidth="1"/>
    <col min="4864" max="4864" width="26.42578125" style="1" customWidth="1"/>
    <col min="4865" max="4865" width="12.42578125" style="1" customWidth="1"/>
    <col min="4866" max="4866" width="12.140625" style="1" customWidth="1"/>
    <col min="4867" max="4867" width="13.7109375" style="1" customWidth="1"/>
    <col min="4868" max="4868" width="27.140625" style="1" customWidth="1"/>
    <col min="4869" max="4869" width="35.7109375" style="1" customWidth="1"/>
    <col min="4870" max="4870" width="25.140625" style="1" customWidth="1"/>
    <col min="4871" max="4871" width="12.5703125" style="1" customWidth="1"/>
    <col min="4872" max="4872" width="11.28515625" style="1" customWidth="1"/>
    <col min="4873" max="4873" width="12.7109375" style="1" customWidth="1"/>
    <col min="4874" max="4874" width="10.42578125" style="1" customWidth="1"/>
    <col min="4875" max="4875" width="13.5703125" style="1" customWidth="1"/>
    <col min="4876" max="4876" width="0" style="1" hidden="1" customWidth="1"/>
    <col min="4877" max="4877" width="11.42578125" style="1" customWidth="1"/>
    <col min="4878" max="4878" width="24" style="1" customWidth="1"/>
    <col min="4879" max="4879" width="13.5703125" style="1" customWidth="1"/>
    <col min="4880" max="5117" width="9.140625" style="1"/>
    <col min="5118" max="5118" width="6.5703125" style="1" customWidth="1"/>
    <col min="5119" max="5119" width="30.85546875" style="1" customWidth="1"/>
    <col min="5120" max="5120" width="26.42578125" style="1" customWidth="1"/>
    <col min="5121" max="5121" width="12.42578125" style="1" customWidth="1"/>
    <col min="5122" max="5122" width="12.140625" style="1" customWidth="1"/>
    <col min="5123" max="5123" width="13.7109375" style="1" customWidth="1"/>
    <col min="5124" max="5124" width="27.140625" style="1" customWidth="1"/>
    <col min="5125" max="5125" width="35.7109375" style="1" customWidth="1"/>
    <col min="5126" max="5126" width="25.140625" style="1" customWidth="1"/>
    <col min="5127" max="5127" width="12.5703125" style="1" customWidth="1"/>
    <col min="5128" max="5128" width="11.28515625" style="1" customWidth="1"/>
    <col min="5129" max="5129" width="12.7109375" style="1" customWidth="1"/>
    <col min="5130" max="5130" width="10.42578125" style="1" customWidth="1"/>
    <col min="5131" max="5131" width="13.5703125" style="1" customWidth="1"/>
    <col min="5132" max="5132" width="0" style="1" hidden="1" customWidth="1"/>
    <col min="5133" max="5133" width="11.42578125" style="1" customWidth="1"/>
    <col min="5134" max="5134" width="24" style="1" customWidth="1"/>
    <col min="5135" max="5135" width="13.5703125" style="1" customWidth="1"/>
    <col min="5136" max="5373" width="9.140625" style="1"/>
    <col min="5374" max="5374" width="6.5703125" style="1" customWidth="1"/>
    <col min="5375" max="5375" width="30.85546875" style="1" customWidth="1"/>
    <col min="5376" max="5376" width="26.42578125" style="1" customWidth="1"/>
    <col min="5377" max="5377" width="12.42578125" style="1" customWidth="1"/>
    <col min="5378" max="5378" width="12.140625" style="1" customWidth="1"/>
    <col min="5379" max="5379" width="13.7109375" style="1" customWidth="1"/>
    <col min="5380" max="5380" width="27.140625" style="1" customWidth="1"/>
    <col min="5381" max="5381" width="35.7109375" style="1" customWidth="1"/>
    <col min="5382" max="5382" width="25.140625" style="1" customWidth="1"/>
    <col min="5383" max="5383" width="12.5703125" style="1" customWidth="1"/>
    <col min="5384" max="5384" width="11.28515625" style="1" customWidth="1"/>
    <col min="5385" max="5385" width="12.7109375" style="1" customWidth="1"/>
    <col min="5386" max="5386" width="10.42578125" style="1" customWidth="1"/>
    <col min="5387" max="5387" width="13.5703125" style="1" customWidth="1"/>
    <col min="5388" max="5388" width="0" style="1" hidden="1" customWidth="1"/>
    <col min="5389" max="5389" width="11.42578125" style="1" customWidth="1"/>
    <col min="5390" max="5390" width="24" style="1" customWidth="1"/>
    <col min="5391" max="5391" width="13.5703125" style="1" customWidth="1"/>
    <col min="5392" max="5629" width="9.140625" style="1"/>
    <col min="5630" max="5630" width="6.5703125" style="1" customWidth="1"/>
    <col min="5631" max="5631" width="30.85546875" style="1" customWidth="1"/>
    <col min="5632" max="5632" width="26.42578125" style="1" customWidth="1"/>
    <col min="5633" max="5633" width="12.42578125" style="1" customWidth="1"/>
    <col min="5634" max="5634" width="12.140625" style="1" customWidth="1"/>
    <col min="5635" max="5635" width="13.7109375" style="1" customWidth="1"/>
    <col min="5636" max="5636" width="27.140625" style="1" customWidth="1"/>
    <col min="5637" max="5637" width="35.7109375" style="1" customWidth="1"/>
    <col min="5638" max="5638" width="25.140625" style="1" customWidth="1"/>
    <col min="5639" max="5639" width="12.5703125" style="1" customWidth="1"/>
    <col min="5640" max="5640" width="11.28515625" style="1" customWidth="1"/>
    <col min="5641" max="5641" width="12.7109375" style="1" customWidth="1"/>
    <col min="5642" max="5642" width="10.42578125" style="1" customWidth="1"/>
    <col min="5643" max="5643" width="13.5703125" style="1" customWidth="1"/>
    <col min="5644" max="5644" width="0" style="1" hidden="1" customWidth="1"/>
    <col min="5645" max="5645" width="11.42578125" style="1" customWidth="1"/>
    <col min="5646" max="5646" width="24" style="1" customWidth="1"/>
    <col min="5647" max="5647" width="13.5703125" style="1" customWidth="1"/>
    <col min="5648" max="5885" width="9.140625" style="1"/>
    <col min="5886" max="5886" width="6.5703125" style="1" customWidth="1"/>
    <col min="5887" max="5887" width="30.85546875" style="1" customWidth="1"/>
    <col min="5888" max="5888" width="26.42578125" style="1" customWidth="1"/>
    <col min="5889" max="5889" width="12.42578125" style="1" customWidth="1"/>
    <col min="5890" max="5890" width="12.140625" style="1" customWidth="1"/>
    <col min="5891" max="5891" width="13.7109375" style="1" customWidth="1"/>
    <col min="5892" max="5892" width="27.140625" style="1" customWidth="1"/>
    <col min="5893" max="5893" width="35.7109375" style="1" customWidth="1"/>
    <col min="5894" max="5894" width="25.140625" style="1" customWidth="1"/>
    <col min="5895" max="5895" width="12.5703125" style="1" customWidth="1"/>
    <col min="5896" max="5896" width="11.28515625" style="1" customWidth="1"/>
    <col min="5897" max="5897" width="12.7109375" style="1" customWidth="1"/>
    <col min="5898" max="5898" width="10.42578125" style="1" customWidth="1"/>
    <col min="5899" max="5899" width="13.5703125" style="1" customWidth="1"/>
    <col min="5900" max="5900" width="0" style="1" hidden="1" customWidth="1"/>
    <col min="5901" max="5901" width="11.42578125" style="1" customWidth="1"/>
    <col min="5902" max="5902" width="24" style="1" customWidth="1"/>
    <col min="5903" max="5903" width="13.5703125" style="1" customWidth="1"/>
    <col min="5904" max="6141" width="9.140625" style="1"/>
    <col min="6142" max="6142" width="6.5703125" style="1" customWidth="1"/>
    <col min="6143" max="6143" width="30.85546875" style="1" customWidth="1"/>
    <col min="6144" max="6144" width="26.42578125" style="1" customWidth="1"/>
    <col min="6145" max="6145" width="12.42578125" style="1" customWidth="1"/>
    <col min="6146" max="6146" width="12.140625" style="1" customWidth="1"/>
    <col min="6147" max="6147" width="13.7109375" style="1" customWidth="1"/>
    <col min="6148" max="6148" width="27.140625" style="1" customWidth="1"/>
    <col min="6149" max="6149" width="35.7109375" style="1" customWidth="1"/>
    <col min="6150" max="6150" width="25.140625" style="1" customWidth="1"/>
    <col min="6151" max="6151" width="12.5703125" style="1" customWidth="1"/>
    <col min="6152" max="6152" width="11.28515625" style="1" customWidth="1"/>
    <col min="6153" max="6153" width="12.7109375" style="1" customWidth="1"/>
    <col min="6154" max="6154" width="10.42578125" style="1" customWidth="1"/>
    <col min="6155" max="6155" width="13.5703125" style="1" customWidth="1"/>
    <col min="6156" max="6156" width="0" style="1" hidden="1" customWidth="1"/>
    <col min="6157" max="6157" width="11.42578125" style="1" customWidth="1"/>
    <col min="6158" max="6158" width="24" style="1" customWidth="1"/>
    <col min="6159" max="6159" width="13.5703125" style="1" customWidth="1"/>
    <col min="6160" max="6397" width="9.140625" style="1"/>
    <col min="6398" max="6398" width="6.5703125" style="1" customWidth="1"/>
    <col min="6399" max="6399" width="30.85546875" style="1" customWidth="1"/>
    <col min="6400" max="6400" width="26.42578125" style="1" customWidth="1"/>
    <col min="6401" max="6401" width="12.42578125" style="1" customWidth="1"/>
    <col min="6402" max="6402" width="12.140625" style="1" customWidth="1"/>
    <col min="6403" max="6403" width="13.7109375" style="1" customWidth="1"/>
    <col min="6404" max="6404" width="27.140625" style="1" customWidth="1"/>
    <col min="6405" max="6405" width="35.7109375" style="1" customWidth="1"/>
    <col min="6406" max="6406" width="25.140625" style="1" customWidth="1"/>
    <col min="6407" max="6407" width="12.5703125" style="1" customWidth="1"/>
    <col min="6408" max="6408" width="11.28515625" style="1" customWidth="1"/>
    <col min="6409" max="6409" width="12.7109375" style="1" customWidth="1"/>
    <col min="6410" max="6410" width="10.42578125" style="1" customWidth="1"/>
    <col min="6411" max="6411" width="13.5703125" style="1" customWidth="1"/>
    <col min="6412" max="6412" width="0" style="1" hidden="1" customWidth="1"/>
    <col min="6413" max="6413" width="11.42578125" style="1" customWidth="1"/>
    <col min="6414" max="6414" width="24" style="1" customWidth="1"/>
    <col min="6415" max="6415" width="13.5703125" style="1" customWidth="1"/>
    <col min="6416" max="6653" width="9.140625" style="1"/>
    <col min="6654" max="6654" width="6.5703125" style="1" customWidth="1"/>
    <col min="6655" max="6655" width="30.85546875" style="1" customWidth="1"/>
    <col min="6656" max="6656" width="26.42578125" style="1" customWidth="1"/>
    <col min="6657" max="6657" width="12.42578125" style="1" customWidth="1"/>
    <col min="6658" max="6658" width="12.140625" style="1" customWidth="1"/>
    <col min="6659" max="6659" width="13.7109375" style="1" customWidth="1"/>
    <col min="6660" max="6660" width="27.140625" style="1" customWidth="1"/>
    <col min="6661" max="6661" width="35.7109375" style="1" customWidth="1"/>
    <col min="6662" max="6662" width="25.140625" style="1" customWidth="1"/>
    <col min="6663" max="6663" width="12.5703125" style="1" customWidth="1"/>
    <col min="6664" max="6664" width="11.28515625" style="1" customWidth="1"/>
    <col min="6665" max="6665" width="12.7109375" style="1" customWidth="1"/>
    <col min="6666" max="6666" width="10.42578125" style="1" customWidth="1"/>
    <col min="6667" max="6667" width="13.5703125" style="1" customWidth="1"/>
    <col min="6668" max="6668" width="0" style="1" hidden="1" customWidth="1"/>
    <col min="6669" max="6669" width="11.42578125" style="1" customWidth="1"/>
    <col min="6670" max="6670" width="24" style="1" customWidth="1"/>
    <col min="6671" max="6671" width="13.5703125" style="1" customWidth="1"/>
    <col min="6672" max="6909" width="9.140625" style="1"/>
    <col min="6910" max="6910" width="6.5703125" style="1" customWidth="1"/>
    <col min="6911" max="6911" width="30.85546875" style="1" customWidth="1"/>
    <col min="6912" max="6912" width="26.42578125" style="1" customWidth="1"/>
    <col min="6913" max="6913" width="12.42578125" style="1" customWidth="1"/>
    <col min="6914" max="6914" width="12.140625" style="1" customWidth="1"/>
    <col min="6915" max="6915" width="13.7109375" style="1" customWidth="1"/>
    <col min="6916" max="6916" width="27.140625" style="1" customWidth="1"/>
    <col min="6917" max="6917" width="35.7109375" style="1" customWidth="1"/>
    <col min="6918" max="6918" width="25.140625" style="1" customWidth="1"/>
    <col min="6919" max="6919" width="12.5703125" style="1" customWidth="1"/>
    <col min="6920" max="6920" width="11.28515625" style="1" customWidth="1"/>
    <col min="6921" max="6921" width="12.7109375" style="1" customWidth="1"/>
    <col min="6922" max="6922" width="10.42578125" style="1" customWidth="1"/>
    <col min="6923" max="6923" width="13.5703125" style="1" customWidth="1"/>
    <col min="6924" max="6924" width="0" style="1" hidden="1" customWidth="1"/>
    <col min="6925" max="6925" width="11.42578125" style="1" customWidth="1"/>
    <col min="6926" max="6926" width="24" style="1" customWidth="1"/>
    <col min="6927" max="6927" width="13.5703125" style="1" customWidth="1"/>
    <col min="6928" max="7165" width="9.140625" style="1"/>
    <col min="7166" max="7166" width="6.5703125" style="1" customWidth="1"/>
    <col min="7167" max="7167" width="30.85546875" style="1" customWidth="1"/>
    <col min="7168" max="7168" width="26.42578125" style="1" customWidth="1"/>
    <col min="7169" max="7169" width="12.42578125" style="1" customWidth="1"/>
    <col min="7170" max="7170" width="12.140625" style="1" customWidth="1"/>
    <col min="7171" max="7171" width="13.7109375" style="1" customWidth="1"/>
    <col min="7172" max="7172" width="27.140625" style="1" customWidth="1"/>
    <col min="7173" max="7173" width="35.7109375" style="1" customWidth="1"/>
    <col min="7174" max="7174" width="25.140625" style="1" customWidth="1"/>
    <col min="7175" max="7175" width="12.5703125" style="1" customWidth="1"/>
    <col min="7176" max="7176" width="11.28515625" style="1" customWidth="1"/>
    <col min="7177" max="7177" width="12.7109375" style="1" customWidth="1"/>
    <col min="7178" max="7178" width="10.42578125" style="1" customWidth="1"/>
    <col min="7179" max="7179" width="13.5703125" style="1" customWidth="1"/>
    <col min="7180" max="7180" width="0" style="1" hidden="1" customWidth="1"/>
    <col min="7181" max="7181" width="11.42578125" style="1" customWidth="1"/>
    <col min="7182" max="7182" width="24" style="1" customWidth="1"/>
    <col min="7183" max="7183" width="13.5703125" style="1" customWidth="1"/>
    <col min="7184" max="7421" width="9.140625" style="1"/>
    <col min="7422" max="7422" width="6.5703125" style="1" customWidth="1"/>
    <col min="7423" max="7423" width="30.85546875" style="1" customWidth="1"/>
    <col min="7424" max="7424" width="26.42578125" style="1" customWidth="1"/>
    <col min="7425" max="7425" width="12.42578125" style="1" customWidth="1"/>
    <col min="7426" max="7426" width="12.140625" style="1" customWidth="1"/>
    <col min="7427" max="7427" width="13.7109375" style="1" customWidth="1"/>
    <col min="7428" max="7428" width="27.140625" style="1" customWidth="1"/>
    <col min="7429" max="7429" width="35.7109375" style="1" customWidth="1"/>
    <col min="7430" max="7430" width="25.140625" style="1" customWidth="1"/>
    <col min="7431" max="7431" width="12.5703125" style="1" customWidth="1"/>
    <col min="7432" max="7432" width="11.28515625" style="1" customWidth="1"/>
    <col min="7433" max="7433" width="12.7109375" style="1" customWidth="1"/>
    <col min="7434" max="7434" width="10.42578125" style="1" customWidth="1"/>
    <col min="7435" max="7435" width="13.5703125" style="1" customWidth="1"/>
    <col min="7436" max="7436" width="0" style="1" hidden="1" customWidth="1"/>
    <col min="7437" max="7437" width="11.42578125" style="1" customWidth="1"/>
    <col min="7438" max="7438" width="24" style="1" customWidth="1"/>
    <col min="7439" max="7439" width="13.5703125" style="1" customWidth="1"/>
    <col min="7440" max="7677" width="9.140625" style="1"/>
    <col min="7678" max="7678" width="6.5703125" style="1" customWidth="1"/>
    <col min="7679" max="7679" width="30.85546875" style="1" customWidth="1"/>
    <col min="7680" max="7680" width="26.42578125" style="1" customWidth="1"/>
    <col min="7681" max="7681" width="12.42578125" style="1" customWidth="1"/>
    <col min="7682" max="7682" width="12.140625" style="1" customWidth="1"/>
    <col min="7683" max="7683" width="13.7109375" style="1" customWidth="1"/>
    <col min="7684" max="7684" width="27.140625" style="1" customWidth="1"/>
    <col min="7685" max="7685" width="35.7109375" style="1" customWidth="1"/>
    <col min="7686" max="7686" width="25.140625" style="1" customWidth="1"/>
    <col min="7687" max="7687" width="12.5703125" style="1" customWidth="1"/>
    <col min="7688" max="7688" width="11.28515625" style="1" customWidth="1"/>
    <col min="7689" max="7689" width="12.7109375" style="1" customWidth="1"/>
    <col min="7690" max="7690" width="10.42578125" style="1" customWidth="1"/>
    <col min="7691" max="7691" width="13.5703125" style="1" customWidth="1"/>
    <col min="7692" max="7692" width="0" style="1" hidden="1" customWidth="1"/>
    <col min="7693" max="7693" width="11.42578125" style="1" customWidth="1"/>
    <col min="7694" max="7694" width="24" style="1" customWidth="1"/>
    <col min="7695" max="7695" width="13.5703125" style="1" customWidth="1"/>
    <col min="7696" max="7933" width="9.140625" style="1"/>
    <col min="7934" max="7934" width="6.5703125" style="1" customWidth="1"/>
    <col min="7935" max="7935" width="30.85546875" style="1" customWidth="1"/>
    <col min="7936" max="7936" width="26.42578125" style="1" customWidth="1"/>
    <col min="7937" max="7937" width="12.42578125" style="1" customWidth="1"/>
    <col min="7938" max="7938" width="12.140625" style="1" customWidth="1"/>
    <col min="7939" max="7939" width="13.7109375" style="1" customWidth="1"/>
    <col min="7940" max="7940" width="27.140625" style="1" customWidth="1"/>
    <col min="7941" max="7941" width="35.7109375" style="1" customWidth="1"/>
    <col min="7942" max="7942" width="25.140625" style="1" customWidth="1"/>
    <col min="7943" max="7943" width="12.5703125" style="1" customWidth="1"/>
    <col min="7944" max="7944" width="11.28515625" style="1" customWidth="1"/>
    <col min="7945" max="7945" width="12.7109375" style="1" customWidth="1"/>
    <col min="7946" max="7946" width="10.42578125" style="1" customWidth="1"/>
    <col min="7947" max="7947" width="13.5703125" style="1" customWidth="1"/>
    <col min="7948" max="7948" width="0" style="1" hidden="1" customWidth="1"/>
    <col min="7949" max="7949" width="11.42578125" style="1" customWidth="1"/>
    <col min="7950" max="7950" width="24" style="1" customWidth="1"/>
    <col min="7951" max="7951" width="13.5703125" style="1" customWidth="1"/>
    <col min="7952" max="8189" width="9.140625" style="1"/>
    <col min="8190" max="8190" width="6.5703125" style="1" customWidth="1"/>
    <col min="8191" max="8191" width="30.85546875" style="1" customWidth="1"/>
    <col min="8192" max="8192" width="26.42578125" style="1" customWidth="1"/>
    <col min="8193" max="8193" width="12.42578125" style="1" customWidth="1"/>
    <col min="8194" max="8194" width="12.140625" style="1" customWidth="1"/>
    <col min="8195" max="8195" width="13.7109375" style="1" customWidth="1"/>
    <col min="8196" max="8196" width="27.140625" style="1" customWidth="1"/>
    <col min="8197" max="8197" width="35.7109375" style="1" customWidth="1"/>
    <col min="8198" max="8198" width="25.140625" style="1" customWidth="1"/>
    <col min="8199" max="8199" width="12.5703125" style="1" customWidth="1"/>
    <col min="8200" max="8200" width="11.28515625" style="1" customWidth="1"/>
    <col min="8201" max="8201" width="12.7109375" style="1" customWidth="1"/>
    <col min="8202" max="8202" width="10.42578125" style="1" customWidth="1"/>
    <col min="8203" max="8203" width="13.5703125" style="1" customWidth="1"/>
    <col min="8204" max="8204" width="0" style="1" hidden="1" customWidth="1"/>
    <col min="8205" max="8205" width="11.42578125" style="1" customWidth="1"/>
    <col min="8206" max="8206" width="24" style="1" customWidth="1"/>
    <col min="8207" max="8207" width="13.5703125" style="1" customWidth="1"/>
    <col min="8208" max="8445" width="9.140625" style="1"/>
    <col min="8446" max="8446" width="6.5703125" style="1" customWidth="1"/>
    <col min="8447" max="8447" width="30.85546875" style="1" customWidth="1"/>
    <col min="8448" max="8448" width="26.42578125" style="1" customWidth="1"/>
    <col min="8449" max="8449" width="12.42578125" style="1" customWidth="1"/>
    <col min="8450" max="8450" width="12.140625" style="1" customWidth="1"/>
    <col min="8451" max="8451" width="13.7109375" style="1" customWidth="1"/>
    <col min="8452" max="8452" width="27.140625" style="1" customWidth="1"/>
    <col min="8453" max="8453" width="35.7109375" style="1" customWidth="1"/>
    <col min="8454" max="8454" width="25.140625" style="1" customWidth="1"/>
    <col min="8455" max="8455" width="12.5703125" style="1" customWidth="1"/>
    <col min="8456" max="8456" width="11.28515625" style="1" customWidth="1"/>
    <col min="8457" max="8457" width="12.7109375" style="1" customWidth="1"/>
    <col min="8458" max="8458" width="10.42578125" style="1" customWidth="1"/>
    <col min="8459" max="8459" width="13.5703125" style="1" customWidth="1"/>
    <col min="8460" max="8460" width="0" style="1" hidden="1" customWidth="1"/>
    <col min="8461" max="8461" width="11.42578125" style="1" customWidth="1"/>
    <col min="8462" max="8462" width="24" style="1" customWidth="1"/>
    <col min="8463" max="8463" width="13.5703125" style="1" customWidth="1"/>
    <col min="8464" max="8701" width="9.140625" style="1"/>
    <col min="8702" max="8702" width="6.5703125" style="1" customWidth="1"/>
    <col min="8703" max="8703" width="30.85546875" style="1" customWidth="1"/>
    <col min="8704" max="8704" width="26.42578125" style="1" customWidth="1"/>
    <col min="8705" max="8705" width="12.42578125" style="1" customWidth="1"/>
    <col min="8706" max="8706" width="12.140625" style="1" customWidth="1"/>
    <col min="8707" max="8707" width="13.7109375" style="1" customWidth="1"/>
    <col min="8708" max="8708" width="27.140625" style="1" customWidth="1"/>
    <col min="8709" max="8709" width="35.7109375" style="1" customWidth="1"/>
    <col min="8710" max="8710" width="25.140625" style="1" customWidth="1"/>
    <col min="8711" max="8711" width="12.5703125" style="1" customWidth="1"/>
    <col min="8712" max="8712" width="11.28515625" style="1" customWidth="1"/>
    <col min="8713" max="8713" width="12.7109375" style="1" customWidth="1"/>
    <col min="8714" max="8714" width="10.42578125" style="1" customWidth="1"/>
    <col min="8715" max="8715" width="13.5703125" style="1" customWidth="1"/>
    <col min="8716" max="8716" width="0" style="1" hidden="1" customWidth="1"/>
    <col min="8717" max="8717" width="11.42578125" style="1" customWidth="1"/>
    <col min="8718" max="8718" width="24" style="1" customWidth="1"/>
    <col min="8719" max="8719" width="13.5703125" style="1" customWidth="1"/>
    <col min="8720" max="8957" width="9.140625" style="1"/>
    <col min="8958" max="8958" width="6.5703125" style="1" customWidth="1"/>
    <col min="8959" max="8959" width="30.85546875" style="1" customWidth="1"/>
    <col min="8960" max="8960" width="26.42578125" style="1" customWidth="1"/>
    <col min="8961" max="8961" width="12.42578125" style="1" customWidth="1"/>
    <col min="8962" max="8962" width="12.140625" style="1" customWidth="1"/>
    <col min="8963" max="8963" width="13.7109375" style="1" customWidth="1"/>
    <col min="8964" max="8964" width="27.140625" style="1" customWidth="1"/>
    <col min="8965" max="8965" width="35.7109375" style="1" customWidth="1"/>
    <col min="8966" max="8966" width="25.140625" style="1" customWidth="1"/>
    <col min="8967" max="8967" width="12.5703125" style="1" customWidth="1"/>
    <col min="8968" max="8968" width="11.28515625" style="1" customWidth="1"/>
    <col min="8969" max="8969" width="12.7109375" style="1" customWidth="1"/>
    <col min="8970" max="8970" width="10.42578125" style="1" customWidth="1"/>
    <col min="8971" max="8971" width="13.5703125" style="1" customWidth="1"/>
    <col min="8972" max="8972" width="0" style="1" hidden="1" customWidth="1"/>
    <col min="8973" max="8973" width="11.42578125" style="1" customWidth="1"/>
    <col min="8974" max="8974" width="24" style="1" customWidth="1"/>
    <col min="8975" max="8975" width="13.5703125" style="1" customWidth="1"/>
    <col min="8976" max="9213" width="9.140625" style="1"/>
    <col min="9214" max="9214" width="6.5703125" style="1" customWidth="1"/>
    <col min="9215" max="9215" width="30.85546875" style="1" customWidth="1"/>
    <col min="9216" max="9216" width="26.42578125" style="1" customWidth="1"/>
    <col min="9217" max="9217" width="12.42578125" style="1" customWidth="1"/>
    <col min="9218" max="9218" width="12.140625" style="1" customWidth="1"/>
    <col min="9219" max="9219" width="13.7109375" style="1" customWidth="1"/>
    <col min="9220" max="9220" width="27.140625" style="1" customWidth="1"/>
    <col min="9221" max="9221" width="35.7109375" style="1" customWidth="1"/>
    <col min="9222" max="9222" width="25.140625" style="1" customWidth="1"/>
    <col min="9223" max="9223" width="12.5703125" style="1" customWidth="1"/>
    <col min="9224" max="9224" width="11.28515625" style="1" customWidth="1"/>
    <col min="9225" max="9225" width="12.7109375" style="1" customWidth="1"/>
    <col min="9226" max="9226" width="10.42578125" style="1" customWidth="1"/>
    <col min="9227" max="9227" width="13.5703125" style="1" customWidth="1"/>
    <col min="9228" max="9228" width="0" style="1" hidden="1" customWidth="1"/>
    <col min="9229" max="9229" width="11.42578125" style="1" customWidth="1"/>
    <col min="9230" max="9230" width="24" style="1" customWidth="1"/>
    <col min="9231" max="9231" width="13.5703125" style="1" customWidth="1"/>
    <col min="9232" max="9469" width="9.140625" style="1"/>
    <col min="9470" max="9470" width="6.5703125" style="1" customWidth="1"/>
    <col min="9471" max="9471" width="30.85546875" style="1" customWidth="1"/>
    <col min="9472" max="9472" width="26.42578125" style="1" customWidth="1"/>
    <col min="9473" max="9473" width="12.42578125" style="1" customWidth="1"/>
    <col min="9474" max="9474" width="12.140625" style="1" customWidth="1"/>
    <col min="9475" max="9475" width="13.7109375" style="1" customWidth="1"/>
    <col min="9476" max="9476" width="27.140625" style="1" customWidth="1"/>
    <col min="9477" max="9477" width="35.7109375" style="1" customWidth="1"/>
    <col min="9478" max="9478" width="25.140625" style="1" customWidth="1"/>
    <col min="9479" max="9479" width="12.5703125" style="1" customWidth="1"/>
    <col min="9480" max="9480" width="11.28515625" style="1" customWidth="1"/>
    <col min="9481" max="9481" width="12.7109375" style="1" customWidth="1"/>
    <col min="9482" max="9482" width="10.42578125" style="1" customWidth="1"/>
    <col min="9483" max="9483" width="13.5703125" style="1" customWidth="1"/>
    <col min="9484" max="9484" width="0" style="1" hidden="1" customWidth="1"/>
    <col min="9485" max="9485" width="11.42578125" style="1" customWidth="1"/>
    <col min="9486" max="9486" width="24" style="1" customWidth="1"/>
    <col min="9487" max="9487" width="13.5703125" style="1" customWidth="1"/>
    <col min="9488" max="9725" width="9.140625" style="1"/>
    <col min="9726" max="9726" width="6.5703125" style="1" customWidth="1"/>
    <col min="9727" max="9727" width="30.85546875" style="1" customWidth="1"/>
    <col min="9728" max="9728" width="26.42578125" style="1" customWidth="1"/>
    <col min="9729" max="9729" width="12.42578125" style="1" customWidth="1"/>
    <col min="9730" max="9730" width="12.140625" style="1" customWidth="1"/>
    <col min="9731" max="9731" width="13.7109375" style="1" customWidth="1"/>
    <col min="9732" max="9732" width="27.140625" style="1" customWidth="1"/>
    <col min="9733" max="9733" width="35.7109375" style="1" customWidth="1"/>
    <col min="9734" max="9734" width="25.140625" style="1" customWidth="1"/>
    <col min="9735" max="9735" width="12.5703125" style="1" customWidth="1"/>
    <col min="9736" max="9736" width="11.28515625" style="1" customWidth="1"/>
    <col min="9737" max="9737" width="12.7109375" style="1" customWidth="1"/>
    <col min="9738" max="9738" width="10.42578125" style="1" customWidth="1"/>
    <col min="9739" max="9739" width="13.5703125" style="1" customWidth="1"/>
    <col min="9740" max="9740" width="0" style="1" hidden="1" customWidth="1"/>
    <col min="9741" max="9741" width="11.42578125" style="1" customWidth="1"/>
    <col min="9742" max="9742" width="24" style="1" customWidth="1"/>
    <col min="9743" max="9743" width="13.5703125" style="1" customWidth="1"/>
    <col min="9744" max="9981" width="9.140625" style="1"/>
    <col min="9982" max="9982" width="6.5703125" style="1" customWidth="1"/>
    <col min="9983" max="9983" width="30.85546875" style="1" customWidth="1"/>
    <col min="9984" max="9984" width="26.42578125" style="1" customWidth="1"/>
    <col min="9985" max="9985" width="12.42578125" style="1" customWidth="1"/>
    <col min="9986" max="9986" width="12.140625" style="1" customWidth="1"/>
    <col min="9987" max="9987" width="13.7109375" style="1" customWidth="1"/>
    <col min="9988" max="9988" width="27.140625" style="1" customWidth="1"/>
    <col min="9989" max="9989" width="35.7109375" style="1" customWidth="1"/>
    <col min="9990" max="9990" width="25.140625" style="1" customWidth="1"/>
    <col min="9991" max="9991" width="12.5703125" style="1" customWidth="1"/>
    <col min="9992" max="9992" width="11.28515625" style="1" customWidth="1"/>
    <col min="9993" max="9993" width="12.7109375" style="1" customWidth="1"/>
    <col min="9994" max="9994" width="10.42578125" style="1" customWidth="1"/>
    <col min="9995" max="9995" width="13.5703125" style="1" customWidth="1"/>
    <col min="9996" max="9996" width="0" style="1" hidden="1" customWidth="1"/>
    <col min="9997" max="9997" width="11.42578125" style="1" customWidth="1"/>
    <col min="9998" max="9998" width="24" style="1" customWidth="1"/>
    <col min="9999" max="9999" width="13.5703125" style="1" customWidth="1"/>
    <col min="10000" max="10237" width="9.140625" style="1"/>
    <col min="10238" max="10238" width="6.5703125" style="1" customWidth="1"/>
    <col min="10239" max="10239" width="30.85546875" style="1" customWidth="1"/>
    <col min="10240" max="10240" width="26.42578125" style="1" customWidth="1"/>
    <col min="10241" max="10241" width="12.42578125" style="1" customWidth="1"/>
    <col min="10242" max="10242" width="12.140625" style="1" customWidth="1"/>
    <col min="10243" max="10243" width="13.7109375" style="1" customWidth="1"/>
    <col min="10244" max="10244" width="27.140625" style="1" customWidth="1"/>
    <col min="10245" max="10245" width="35.7109375" style="1" customWidth="1"/>
    <col min="10246" max="10246" width="25.140625" style="1" customWidth="1"/>
    <col min="10247" max="10247" width="12.5703125" style="1" customWidth="1"/>
    <col min="10248" max="10248" width="11.28515625" style="1" customWidth="1"/>
    <col min="10249" max="10249" width="12.7109375" style="1" customWidth="1"/>
    <col min="10250" max="10250" width="10.42578125" style="1" customWidth="1"/>
    <col min="10251" max="10251" width="13.5703125" style="1" customWidth="1"/>
    <col min="10252" max="10252" width="0" style="1" hidden="1" customWidth="1"/>
    <col min="10253" max="10253" width="11.42578125" style="1" customWidth="1"/>
    <col min="10254" max="10254" width="24" style="1" customWidth="1"/>
    <col min="10255" max="10255" width="13.5703125" style="1" customWidth="1"/>
    <col min="10256" max="10493" width="9.140625" style="1"/>
    <col min="10494" max="10494" width="6.5703125" style="1" customWidth="1"/>
    <col min="10495" max="10495" width="30.85546875" style="1" customWidth="1"/>
    <col min="10496" max="10496" width="26.42578125" style="1" customWidth="1"/>
    <col min="10497" max="10497" width="12.42578125" style="1" customWidth="1"/>
    <col min="10498" max="10498" width="12.140625" style="1" customWidth="1"/>
    <col min="10499" max="10499" width="13.7109375" style="1" customWidth="1"/>
    <col min="10500" max="10500" width="27.140625" style="1" customWidth="1"/>
    <col min="10501" max="10501" width="35.7109375" style="1" customWidth="1"/>
    <col min="10502" max="10502" width="25.140625" style="1" customWidth="1"/>
    <col min="10503" max="10503" width="12.5703125" style="1" customWidth="1"/>
    <col min="10504" max="10504" width="11.28515625" style="1" customWidth="1"/>
    <col min="10505" max="10505" width="12.7109375" style="1" customWidth="1"/>
    <col min="10506" max="10506" width="10.42578125" style="1" customWidth="1"/>
    <col min="10507" max="10507" width="13.5703125" style="1" customWidth="1"/>
    <col min="10508" max="10508" width="0" style="1" hidden="1" customWidth="1"/>
    <col min="10509" max="10509" width="11.42578125" style="1" customWidth="1"/>
    <col min="10510" max="10510" width="24" style="1" customWidth="1"/>
    <col min="10511" max="10511" width="13.5703125" style="1" customWidth="1"/>
    <col min="10512" max="10749" width="9.140625" style="1"/>
    <col min="10750" max="10750" width="6.5703125" style="1" customWidth="1"/>
    <col min="10751" max="10751" width="30.85546875" style="1" customWidth="1"/>
    <col min="10752" max="10752" width="26.42578125" style="1" customWidth="1"/>
    <col min="10753" max="10753" width="12.42578125" style="1" customWidth="1"/>
    <col min="10754" max="10754" width="12.140625" style="1" customWidth="1"/>
    <col min="10755" max="10755" width="13.7109375" style="1" customWidth="1"/>
    <col min="10756" max="10756" width="27.140625" style="1" customWidth="1"/>
    <col min="10757" max="10757" width="35.7109375" style="1" customWidth="1"/>
    <col min="10758" max="10758" width="25.140625" style="1" customWidth="1"/>
    <col min="10759" max="10759" width="12.5703125" style="1" customWidth="1"/>
    <col min="10760" max="10760" width="11.28515625" style="1" customWidth="1"/>
    <col min="10761" max="10761" width="12.7109375" style="1" customWidth="1"/>
    <col min="10762" max="10762" width="10.42578125" style="1" customWidth="1"/>
    <col min="10763" max="10763" width="13.5703125" style="1" customWidth="1"/>
    <col min="10764" max="10764" width="0" style="1" hidden="1" customWidth="1"/>
    <col min="10765" max="10765" width="11.42578125" style="1" customWidth="1"/>
    <col min="10766" max="10766" width="24" style="1" customWidth="1"/>
    <col min="10767" max="10767" width="13.5703125" style="1" customWidth="1"/>
    <col min="10768" max="11005" width="9.140625" style="1"/>
    <col min="11006" max="11006" width="6.5703125" style="1" customWidth="1"/>
    <col min="11007" max="11007" width="30.85546875" style="1" customWidth="1"/>
    <col min="11008" max="11008" width="26.42578125" style="1" customWidth="1"/>
    <col min="11009" max="11009" width="12.42578125" style="1" customWidth="1"/>
    <col min="11010" max="11010" width="12.140625" style="1" customWidth="1"/>
    <col min="11011" max="11011" width="13.7109375" style="1" customWidth="1"/>
    <col min="11012" max="11012" width="27.140625" style="1" customWidth="1"/>
    <col min="11013" max="11013" width="35.7109375" style="1" customWidth="1"/>
    <col min="11014" max="11014" width="25.140625" style="1" customWidth="1"/>
    <col min="11015" max="11015" width="12.5703125" style="1" customWidth="1"/>
    <col min="11016" max="11016" width="11.28515625" style="1" customWidth="1"/>
    <col min="11017" max="11017" width="12.7109375" style="1" customWidth="1"/>
    <col min="11018" max="11018" width="10.42578125" style="1" customWidth="1"/>
    <col min="11019" max="11019" width="13.5703125" style="1" customWidth="1"/>
    <col min="11020" max="11020" width="0" style="1" hidden="1" customWidth="1"/>
    <col min="11021" max="11021" width="11.42578125" style="1" customWidth="1"/>
    <col min="11022" max="11022" width="24" style="1" customWidth="1"/>
    <col min="11023" max="11023" width="13.5703125" style="1" customWidth="1"/>
    <col min="11024" max="11261" width="9.140625" style="1"/>
    <col min="11262" max="11262" width="6.5703125" style="1" customWidth="1"/>
    <col min="11263" max="11263" width="30.85546875" style="1" customWidth="1"/>
    <col min="11264" max="11264" width="26.42578125" style="1" customWidth="1"/>
    <col min="11265" max="11265" width="12.42578125" style="1" customWidth="1"/>
    <col min="11266" max="11266" width="12.140625" style="1" customWidth="1"/>
    <col min="11267" max="11267" width="13.7109375" style="1" customWidth="1"/>
    <col min="11268" max="11268" width="27.140625" style="1" customWidth="1"/>
    <col min="11269" max="11269" width="35.7109375" style="1" customWidth="1"/>
    <col min="11270" max="11270" width="25.140625" style="1" customWidth="1"/>
    <col min="11271" max="11271" width="12.5703125" style="1" customWidth="1"/>
    <col min="11272" max="11272" width="11.28515625" style="1" customWidth="1"/>
    <col min="11273" max="11273" width="12.7109375" style="1" customWidth="1"/>
    <col min="11274" max="11274" width="10.42578125" style="1" customWidth="1"/>
    <col min="11275" max="11275" width="13.5703125" style="1" customWidth="1"/>
    <col min="11276" max="11276" width="0" style="1" hidden="1" customWidth="1"/>
    <col min="11277" max="11277" width="11.42578125" style="1" customWidth="1"/>
    <col min="11278" max="11278" width="24" style="1" customWidth="1"/>
    <col min="11279" max="11279" width="13.5703125" style="1" customWidth="1"/>
    <col min="11280" max="11517" width="9.140625" style="1"/>
    <col min="11518" max="11518" width="6.5703125" style="1" customWidth="1"/>
    <col min="11519" max="11519" width="30.85546875" style="1" customWidth="1"/>
    <col min="11520" max="11520" width="26.42578125" style="1" customWidth="1"/>
    <col min="11521" max="11521" width="12.42578125" style="1" customWidth="1"/>
    <col min="11522" max="11522" width="12.140625" style="1" customWidth="1"/>
    <col min="11523" max="11523" width="13.7109375" style="1" customWidth="1"/>
    <col min="11524" max="11524" width="27.140625" style="1" customWidth="1"/>
    <col min="11525" max="11525" width="35.7109375" style="1" customWidth="1"/>
    <col min="11526" max="11526" width="25.140625" style="1" customWidth="1"/>
    <col min="11527" max="11527" width="12.5703125" style="1" customWidth="1"/>
    <col min="11528" max="11528" width="11.28515625" style="1" customWidth="1"/>
    <col min="11529" max="11529" width="12.7109375" style="1" customWidth="1"/>
    <col min="11530" max="11530" width="10.42578125" style="1" customWidth="1"/>
    <col min="11531" max="11531" width="13.5703125" style="1" customWidth="1"/>
    <col min="11532" max="11532" width="0" style="1" hidden="1" customWidth="1"/>
    <col min="11533" max="11533" width="11.42578125" style="1" customWidth="1"/>
    <col min="11534" max="11534" width="24" style="1" customWidth="1"/>
    <col min="11535" max="11535" width="13.5703125" style="1" customWidth="1"/>
    <col min="11536" max="11773" width="9.140625" style="1"/>
    <col min="11774" max="11774" width="6.5703125" style="1" customWidth="1"/>
    <col min="11775" max="11775" width="30.85546875" style="1" customWidth="1"/>
    <col min="11776" max="11776" width="26.42578125" style="1" customWidth="1"/>
    <col min="11777" max="11777" width="12.42578125" style="1" customWidth="1"/>
    <col min="11778" max="11778" width="12.140625" style="1" customWidth="1"/>
    <col min="11779" max="11779" width="13.7109375" style="1" customWidth="1"/>
    <col min="11780" max="11780" width="27.140625" style="1" customWidth="1"/>
    <col min="11781" max="11781" width="35.7109375" style="1" customWidth="1"/>
    <col min="11782" max="11782" width="25.140625" style="1" customWidth="1"/>
    <col min="11783" max="11783" width="12.5703125" style="1" customWidth="1"/>
    <col min="11784" max="11784" width="11.28515625" style="1" customWidth="1"/>
    <col min="11785" max="11785" width="12.7109375" style="1" customWidth="1"/>
    <col min="11786" max="11786" width="10.42578125" style="1" customWidth="1"/>
    <col min="11787" max="11787" width="13.5703125" style="1" customWidth="1"/>
    <col min="11788" max="11788" width="0" style="1" hidden="1" customWidth="1"/>
    <col min="11789" max="11789" width="11.42578125" style="1" customWidth="1"/>
    <col min="11790" max="11790" width="24" style="1" customWidth="1"/>
    <col min="11791" max="11791" width="13.5703125" style="1" customWidth="1"/>
    <col min="11792" max="12029" width="9.140625" style="1"/>
    <col min="12030" max="12030" width="6.5703125" style="1" customWidth="1"/>
    <col min="12031" max="12031" width="30.85546875" style="1" customWidth="1"/>
    <col min="12032" max="12032" width="26.42578125" style="1" customWidth="1"/>
    <col min="12033" max="12033" width="12.42578125" style="1" customWidth="1"/>
    <col min="12034" max="12034" width="12.140625" style="1" customWidth="1"/>
    <col min="12035" max="12035" width="13.7109375" style="1" customWidth="1"/>
    <col min="12036" max="12036" width="27.140625" style="1" customWidth="1"/>
    <col min="12037" max="12037" width="35.7109375" style="1" customWidth="1"/>
    <col min="12038" max="12038" width="25.140625" style="1" customWidth="1"/>
    <col min="12039" max="12039" width="12.5703125" style="1" customWidth="1"/>
    <col min="12040" max="12040" width="11.28515625" style="1" customWidth="1"/>
    <col min="12041" max="12041" width="12.7109375" style="1" customWidth="1"/>
    <col min="12042" max="12042" width="10.42578125" style="1" customWidth="1"/>
    <col min="12043" max="12043" width="13.5703125" style="1" customWidth="1"/>
    <col min="12044" max="12044" width="0" style="1" hidden="1" customWidth="1"/>
    <col min="12045" max="12045" width="11.42578125" style="1" customWidth="1"/>
    <col min="12046" max="12046" width="24" style="1" customWidth="1"/>
    <col min="12047" max="12047" width="13.5703125" style="1" customWidth="1"/>
    <col min="12048" max="12285" width="9.140625" style="1"/>
    <col min="12286" max="12286" width="6.5703125" style="1" customWidth="1"/>
    <col min="12287" max="12287" width="30.85546875" style="1" customWidth="1"/>
    <col min="12288" max="12288" width="26.42578125" style="1" customWidth="1"/>
    <col min="12289" max="12289" width="12.42578125" style="1" customWidth="1"/>
    <col min="12290" max="12290" width="12.140625" style="1" customWidth="1"/>
    <col min="12291" max="12291" width="13.7109375" style="1" customWidth="1"/>
    <col min="12292" max="12292" width="27.140625" style="1" customWidth="1"/>
    <col min="12293" max="12293" width="35.7109375" style="1" customWidth="1"/>
    <col min="12294" max="12294" width="25.140625" style="1" customWidth="1"/>
    <col min="12295" max="12295" width="12.5703125" style="1" customWidth="1"/>
    <col min="12296" max="12296" width="11.28515625" style="1" customWidth="1"/>
    <col min="12297" max="12297" width="12.7109375" style="1" customWidth="1"/>
    <col min="12298" max="12298" width="10.42578125" style="1" customWidth="1"/>
    <col min="12299" max="12299" width="13.5703125" style="1" customWidth="1"/>
    <col min="12300" max="12300" width="0" style="1" hidden="1" customWidth="1"/>
    <col min="12301" max="12301" width="11.42578125" style="1" customWidth="1"/>
    <col min="12302" max="12302" width="24" style="1" customWidth="1"/>
    <col min="12303" max="12303" width="13.5703125" style="1" customWidth="1"/>
    <col min="12304" max="12541" width="9.140625" style="1"/>
    <col min="12542" max="12542" width="6.5703125" style="1" customWidth="1"/>
    <col min="12543" max="12543" width="30.85546875" style="1" customWidth="1"/>
    <col min="12544" max="12544" width="26.42578125" style="1" customWidth="1"/>
    <col min="12545" max="12545" width="12.42578125" style="1" customWidth="1"/>
    <col min="12546" max="12546" width="12.140625" style="1" customWidth="1"/>
    <col min="12547" max="12547" width="13.7109375" style="1" customWidth="1"/>
    <col min="12548" max="12548" width="27.140625" style="1" customWidth="1"/>
    <col min="12549" max="12549" width="35.7109375" style="1" customWidth="1"/>
    <col min="12550" max="12550" width="25.140625" style="1" customWidth="1"/>
    <col min="12551" max="12551" width="12.5703125" style="1" customWidth="1"/>
    <col min="12552" max="12552" width="11.28515625" style="1" customWidth="1"/>
    <col min="12553" max="12553" width="12.7109375" style="1" customWidth="1"/>
    <col min="12554" max="12554" width="10.42578125" style="1" customWidth="1"/>
    <col min="12555" max="12555" width="13.5703125" style="1" customWidth="1"/>
    <col min="12556" max="12556" width="0" style="1" hidden="1" customWidth="1"/>
    <col min="12557" max="12557" width="11.42578125" style="1" customWidth="1"/>
    <col min="12558" max="12558" width="24" style="1" customWidth="1"/>
    <col min="12559" max="12559" width="13.5703125" style="1" customWidth="1"/>
    <col min="12560" max="12797" width="9.140625" style="1"/>
    <col min="12798" max="12798" width="6.5703125" style="1" customWidth="1"/>
    <col min="12799" max="12799" width="30.85546875" style="1" customWidth="1"/>
    <col min="12800" max="12800" width="26.42578125" style="1" customWidth="1"/>
    <col min="12801" max="12801" width="12.42578125" style="1" customWidth="1"/>
    <col min="12802" max="12802" width="12.140625" style="1" customWidth="1"/>
    <col min="12803" max="12803" width="13.7109375" style="1" customWidth="1"/>
    <col min="12804" max="12804" width="27.140625" style="1" customWidth="1"/>
    <col min="12805" max="12805" width="35.7109375" style="1" customWidth="1"/>
    <col min="12806" max="12806" width="25.140625" style="1" customWidth="1"/>
    <col min="12807" max="12807" width="12.5703125" style="1" customWidth="1"/>
    <col min="12808" max="12808" width="11.28515625" style="1" customWidth="1"/>
    <col min="12809" max="12809" width="12.7109375" style="1" customWidth="1"/>
    <col min="12810" max="12810" width="10.42578125" style="1" customWidth="1"/>
    <col min="12811" max="12811" width="13.5703125" style="1" customWidth="1"/>
    <col min="12812" max="12812" width="0" style="1" hidden="1" customWidth="1"/>
    <col min="12813" max="12813" width="11.42578125" style="1" customWidth="1"/>
    <col min="12814" max="12814" width="24" style="1" customWidth="1"/>
    <col min="12815" max="12815" width="13.5703125" style="1" customWidth="1"/>
    <col min="12816" max="13053" width="9.140625" style="1"/>
    <col min="13054" max="13054" width="6.5703125" style="1" customWidth="1"/>
    <col min="13055" max="13055" width="30.85546875" style="1" customWidth="1"/>
    <col min="13056" max="13056" width="26.42578125" style="1" customWidth="1"/>
    <col min="13057" max="13057" width="12.42578125" style="1" customWidth="1"/>
    <col min="13058" max="13058" width="12.140625" style="1" customWidth="1"/>
    <col min="13059" max="13059" width="13.7109375" style="1" customWidth="1"/>
    <col min="13060" max="13060" width="27.140625" style="1" customWidth="1"/>
    <col min="13061" max="13061" width="35.7109375" style="1" customWidth="1"/>
    <col min="13062" max="13062" width="25.140625" style="1" customWidth="1"/>
    <col min="13063" max="13063" width="12.5703125" style="1" customWidth="1"/>
    <col min="13064" max="13064" width="11.28515625" style="1" customWidth="1"/>
    <col min="13065" max="13065" width="12.7109375" style="1" customWidth="1"/>
    <col min="13066" max="13066" width="10.42578125" style="1" customWidth="1"/>
    <col min="13067" max="13067" width="13.5703125" style="1" customWidth="1"/>
    <col min="13068" max="13068" width="0" style="1" hidden="1" customWidth="1"/>
    <col min="13069" max="13069" width="11.42578125" style="1" customWidth="1"/>
    <col min="13070" max="13070" width="24" style="1" customWidth="1"/>
    <col min="13071" max="13071" width="13.5703125" style="1" customWidth="1"/>
    <col min="13072" max="13309" width="9.140625" style="1"/>
    <col min="13310" max="13310" width="6.5703125" style="1" customWidth="1"/>
    <col min="13311" max="13311" width="30.85546875" style="1" customWidth="1"/>
    <col min="13312" max="13312" width="26.42578125" style="1" customWidth="1"/>
    <col min="13313" max="13313" width="12.42578125" style="1" customWidth="1"/>
    <col min="13314" max="13314" width="12.140625" style="1" customWidth="1"/>
    <col min="13315" max="13315" width="13.7109375" style="1" customWidth="1"/>
    <col min="13316" max="13316" width="27.140625" style="1" customWidth="1"/>
    <col min="13317" max="13317" width="35.7109375" style="1" customWidth="1"/>
    <col min="13318" max="13318" width="25.140625" style="1" customWidth="1"/>
    <col min="13319" max="13319" width="12.5703125" style="1" customWidth="1"/>
    <col min="13320" max="13320" width="11.28515625" style="1" customWidth="1"/>
    <col min="13321" max="13321" width="12.7109375" style="1" customWidth="1"/>
    <col min="13322" max="13322" width="10.42578125" style="1" customWidth="1"/>
    <col min="13323" max="13323" width="13.5703125" style="1" customWidth="1"/>
    <col min="13324" max="13324" width="0" style="1" hidden="1" customWidth="1"/>
    <col min="13325" max="13325" width="11.42578125" style="1" customWidth="1"/>
    <col min="13326" max="13326" width="24" style="1" customWidth="1"/>
    <col min="13327" max="13327" width="13.5703125" style="1" customWidth="1"/>
    <col min="13328" max="13565" width="9.140625" style="1"/>
    <col min="13566" max="13566" width="6.5703125" style="1" customWidth="1"/>
    <col min="13567" max="13567" width="30.85546875" style="1" customWidth="1"/>
    <col min="13568" max="13568" width="26.42578125" style="1" customWidth="1"/>
    <col min="13569" max="13569" width="12.42578125" style="1" customWidth="1"/>
    <col min="13570" max="13570" width="12.140625" style="1" customWidth="1"/>
    <col min="13571" max="13571" width="13.7109375" style="1" customWidth="1"/>
    <col min="13572" max="13572" width="27.140625" style="1" customWidth="1"/>
    <col min="13573" max="13573" width="35.7109375" style="1" customWidth="1"/>
    <col min="13574" max="13574" width="25.140625" style="1" customWidth="1"/>
    <col min="13575" max="13575" width="12.5703125" style="1" customWidth="1"/>
    <col min="13576" max="13576" width="11.28515625" style="1" customWidth="1"/>
    <col min="13577" max="13577" width="12.7109375" style="1" customWidth="1"/>
    <col min="13578" max="13578" width="10.42578125" style="1" customWidth="1"/>
    <col min="13579" max="13579" width="13.5703125" style="1" customWidth="1"/>
    <col min="13580" max="13580" width="0" style="1" hidden="1" customWidth="1"/>
    <col min="13581" max="13581" width="11.42578125" style="1" customWidth="1"/>
    <col min="13582" max="13582" width="24" style="1" customWidth="1"/>
    <col min="13583" max="13583" width="13.5703125" style="1" customWidth="1"/>
    <col min="13584" max="13821" width="9.140625" style="1"/>
    <col min="13822" max="13822" width="6.5703125" style="1" customWidth="1"/>
    <col min="13823" max="13823" width="30.85546875" style="1" customWidth="1"/>
    <col min="13824" max="13824" width="26.42578125" style="1" customWidth="1"/>
    <col min="13825" max="13825" width="12.42578125" style="1" customWidth="1"/>
    <col min="13826" max="13826" width="12.140625" style="1" customWidth="1"/>
    <col min="13827" max="13827" width="13.7109375" style="1" customWidth="1"/>
    <col min="13828" max="13828" width="27.140625" style="1" customWidth="1"/>
    <col min="13829" max="13829" width="35.7109375" style="1" customWidth="1"/>
    <col min="13830" max="13830" width="25.140625" style="1" customWidth="1"/>
    <col min="13831" max="13831" width="12.5703125" style="1" customWidth="1"/>
    <col min="13832" max="13832" width="11.28515625" style="1" customWidth="1"/>
    <col min="13833" max="13833" width="12.7109375" style="1" customWidth="1"/>
    <col min="13834" max="13834" width="10.42578125" style="1" customWidth="1"/>
    <col min="13835" max="13835" width="13.5703125" style="1" customWidth="1"/>
    <col min="13836" max="13836" width="0" style="1" hidden="1" customWidth="1"/>
    <col min="13837" max="13837" width="11.42578125" style="1" customWidth="1"/>
    <col min="13838" max="13838" width="24" style="1" customWidth="1"/>
    <col min="13839" max="13839" width="13.5703125" style="1" customWidth="1"/>
    <col min="13840" max="14077" width="9.140625" style="1"/>
    <col min="14078" max="14078" width="6.5703125" style="1" customWidth="1"/>
    <col min="14079" max="14079" width="30.85546875" style="1" customWidth="1"/>
    <col min="14080" max="14080" width="26.42578125" style="1" customWidth="1"/>
    <col min="14081" max="14081" width="12.42578125" style="1" customWidth="1"/>
    <col min="14082" max="14082" width="12.140625" style="1" customWidth="1"/>
    <col min="14083" max="14083" width="13.7109375" style="1" customWidth="1"/>
    <col min="14084" max="14084" width="27.140625" style="1" customWidth="1"/>
    <col min="14085" max="14085" width="35.7109375" style="1" customWidth="1"/>
    <col min="14086" max="14086" width="25.140625" style="1" customWidth="1"/>
    <col min="14087" max="14087" width="12.5703125" style="1" customWidth="1"/>
    <col min="14088" max="14088" width="11.28515625" style="1" customWidth="1"/>
    <col min="14089" max="14089" width="12.7109375" style="1" customWidth="1"/>
    <col min="14090" max="14090" width="10.42578125" style="1" customWidth="1"/>
    <col min="14091" max="14091" width="13.5703125" style="1" customWidth="1"/>
    <col min="14092" max="14092" width="0" style="1" hidden="1" customWidth="1"/>
    <col min="14093" max="14093" width="11.42578125" style="1" customWidth="1"/>
    <col min="14094" max="14094" width="24" style="1" customWidth="1"/>
    <col min="14095" max="14095" width="13.5703125" style="1" customWidth="1"/>
    <col min="14096" max="14333" width="9.140625" style="1"/>
    <col min="14334" max="14334" width="6.5703125" style="1" customWidth="1"/>
    <col min="14335" max="14335" width="30.85546875" style="1" customWidth="1"/>
    <col min="14336" max="14336" width="26.42578125" style="1" customWidth="1"/>
    <col min="14337" max="14337" width="12.42578125" style="1" customWidth="1"/>
    <col min="14338" max="14338" width="12.140625" style="1" customWidth="1"/>
    <col min="14339" max="14339" width="13.7109375" style="1" customWidth="1"/>
    <col min="14340" max="14340" width="27.140625" style="1" customWidth="1"/>
    <col min="14341" max="14341" width="35.7109375" style="1" customWidth="1"/>
    <col min="14342" max="14342" width="25.140625" style="1" customWidth="1"/>
    <col min="14343" max="14343" width="12.5703125" style="1" customWidth="1"/>
    <col min="14344" max="14344" width="11.28515625" style="1" customWidth="1"/>
    <col min="14345" max="14345" width="12.7109375" style="1" customWidth="1"/>
    <col min="14346" max="14346" width="10.42578125" style="1" customWidth="1"/>
    <col min="14347" max="14347" width="13.5703125" style="1" customWidth="1"/>
    <col min="14348" max="14348" width="0" style="1" hidden="1" customWidth="1"/>
    <col min="14349" max="14349" width="11.42578125" style="1" customWidth="1"/>
    <col min="14350" max="14350" width="24" style="1" customWidth="1"/>
    <col min="14351" max="14351" width="13.5703125" style="1" customWidth="1"/>
    <col min="14352" max="14589" width="9.140625" style="1"/>
    <col min="14590" max="14590" width="6.5703125" style="1" customWidth="1"/>
    <col min="14591" max="14591" width="30.85546875" style="1" customWidth="1"/>
    <col min="14592" max="14592" width="26.42578125" style="1" customWidth="1"/>
    <col min="14593" max="14593" width="12.42578125" style="1" customWidth="1"/>
    <col min="14594" max="14594" width="12.140625" style="1" customWidth="1"/>
    <col min="14595" max="14595" width="13.7109375" style="1" customWidth="1"/>
    <col min="14596" max="14596" width="27.140625" style="1" customWidth="1"/>
    <col min="14597" max="14597" width="35.7109375" style="1" customWidth="1"/>
    <col min="14598" max="14598" width="25.140625" style="1" customWidth="1"/>
    <col min="14599" max="14599" width="12.5703125" style="1" customWidth="1"/>
    <col min="14600" max="14600" width="11.28515625" style="1" customWidth="1"/>
    <col min="14601" max="14601" width="12.7109375" style="1" customWidth="1"/>
    <col min="14602" max="14602" width="10.42578125" style="1" customWidth="1"/>
    <col min="14603" max="14603" width="13.5703125" style="1" customWidth="1"/>
    <col min="14604" max="14604" width="0" style="1" hidden="1" customWidth="1"/>
    <col min="14605" max="14605" width="11.42578125" style="1" customWidth="1"/>
    <col min="14606" max="14606" width="24" style="1" customWidth="1"/>
    <col min="14607" max="14607" width="13.5703125" style="1" customWidth="1"/>
    <col min="14608" max="14845" width="9.140625" style="1"/>
    <col min="14846" max="14846" width="6.5703125" style="1" customWidth="1"/>
    <col min="14847" max="14847" width="30.85546875" style="1" customWidth="1"/>
    <col min="14848" max="14848" width="26.42578125" style="1" customWidth="1"/>
    <col min="14849" max="14849" width="12.42578125" style="1" customWidth="1"/>
    <col min="14850" max="14850" width="12.140625" style="1" customWidth="1"/>
    <col min="14851" max="14851" width="13.7109375" style="1" customWidth="1"/>
    <col min="14852" max="14852" width="27.140625" style="1" customWidth="1"/>
    <col min="14853" max="14853" width="35.7109375" style="1" customWidth="1"/>
    <col min="14854" max="14854" width="25.140625" style="1" customWidth="1"/>
    <col min="14855" max="14855" width="12.5703125" style="1" customWidth="1"/>
    <col min="14856" max="14856" width="11.28515625" style="1" customWidth="1"/>
    <col min="14857" max="14857" width="12.7109375" style="1" customWidth="1"/>
    <col min="14858" max="14858" width="10.42578125" style="1" customWidth="1"/>
    <col min="14859" max="14859" width="13.5703125" style="1" customWidth="1"/>
    <col min="14860" max="14860" width="0" style="1" hidden="1" customWidth="1"/>
    <col min="14861" max="14861" width="11.42578125" style="1" customWidth="1"/>
    <col min="14862" max="14862" width="24" style="1" customWidth="1"/>
    <col min="14863" max="14863" width="13.5703125" style="1" customWidth="1"/>
    <col min="14864" max="15101" width="9.140625" style="1"/>
    <col min="15102" max="15102" width="6.5703125" style="1" customWidth="1"/>
    <col min="15103" max="15103" width="30.85546875" style="1" customWidth="1"/>
    <col min="15104" max="15104" width="26.42578125" style="1" customWidth="1"/>
    <col min="15105" max="15105" width="12.42578125" style="1" customWidth="1"/>
    <col min="15106" max="15106" width="12.140625" style="1" customWidth="1"/>
    <col min="15107" max="15107" width="13.7109375" style="1" customWidth="1"/>
    <col min="15108" max="15108" width="27.140625" style="1" customWidth="1"/>
    <col min="15109" max="15109" width="35.7109375" style="1" customWidth="1"/>
    <col min="15110" max="15110" width="25.140625" style="1" customWidth="1"/>
    <col min="15111" max="15111" width="12.5703125" style="1" customWidth="1"/>
    <col min="15112" max="15112" width="11.28515625" style="1" customWidth="1"/>
    <col min="15113" max="15113" width="12.7109375" style="1" customWidth="1"/>
    <col min="15114" max="15114" width="10.42578125" style="1" customWidth="1"/>
    <col min="15115" max="15115" width="13.5703125" style="1" customWidth="1"/>
    <col min="15116" max="15116" width="0" style="1" hidden="1" customWidth="1"/>
    <col min="15117" max="15117" width="11.42578125" style="1" customWidth="1"/>
    <col min="15118" max="15118" width="24" style="1" customWidth="1"/>
    <col min="15119" max="15119" width="13.5703125" style="1" customWidth="1"/>
    <col min="15120" max="15357" width="9.140625" style="1"/>
    <col min="15358" max="15358" width="6.5703125" style="1" customWidth="1"/>
    <col min="15359" max="15359" width="30.85546875" style="1" customWidth="1"/>
    <col min="15360" max="15360" width="26.42578125" style="1" customWidth="1"/>
    <col min="15361" max="15361" width="12.42578125" style="1" customWidth="1"/>
    <col min="15362" max="15362" width="12.140625" style="1" customWidth="1"/>
    <col min="15363" max="15363" width="13.7109375" style="1" customWidth="1"/>
    <col min="15364" max="15364" width="27.140625" style="1" customWidth="1"/>
    <col min="15365" max="15365" width="35.7109375" style="1" customWidth="1"/>
    <col min="15366" max="15366" width="25.140625" style="1" customWidth="1"/>
    <col min="15367" max="15367" width="12.5703125" style="1" customWidth="1"/>
    <col min="15368" max="15368" width="11.28515625" style="1" customWidth="1"/>
    <col min="15369" max="15369" width="12.7109375" style="1" customWidth="1"/>
    <col min="15370" max="15370" width="10.42578125" style="1" customWidth="1"/>
    <col min="15371" max="15371" width="13.5703125" style="1" customWidth="1"/>
    <col min="15372" max="15372" width="0" style="1" hidden="1" customWidth="1"/>
    <col min="15373" max="15373" width="11.42578125" style="1" customWidth="1"/>
    <col min="15374" max="15374" width="24" style="1" customWidth="1"/>
    <col min="15375" max="15375" width="13.5703125" style="1" customWidth="1"/>
    <col min="15376" max="15613" width="9.140625" style="1"/>
    <col min="15614" max="15614" width="6.5703125" style="1" customWidth="1"/>
    <col min="15615" max="15615" width="30.85546875" style="1" customWidth="1"/>
    <col min="15616" max="15616" width="26.42578125" style="1" customWidth="1"/>
    <col min="15617" max="15617" width="12.42578125" style="1" customWidth="1"/>
    <col min="15618" max="15618" width="12.140625" style="1" customWidth="1"/>
    <col min="15619" max="15619" width="13.7109375" style="1" customWidth="1"/>
    <col min="15620" max="15620" width="27.140625" style="1" customWidth="1"/>
    <col min="15621" max="15621" width="35.7109375" style="1" customWidth="1"/>
    <col min="15622" max="15622" width="25.140625" style="1" customWidth="1"/>
    <col min="15623" max="15623" width="12.5703125" style="1" customWidth="1"/>
    <col min="15624" max="15624" width="11.28515625" style="1" customWidth="1"/>
    <col min="15625" max="15625" width="12.7109375" style="1" customWidth="1"/>
    <col min="15626" max="15626" width="10.42578125" style="1" customWidth="1"/>
    <col min="15627" max="15627" width="13.5703125" style="1" customWidth="1"/>
    <col min="15628" max="15628" width="0" style="1" hidden="1" customWidth="1"/>
    <col min="15629" max="15629" width="11.42578125" style="1" customWidth="1"/>
    <col min="15630" max="15630" width="24" style="1" customWidth="1"/>
    <col min="15631" max="15631" width="13.5703125" style="1" customWidth="1"/>
    <col min="15632" max="15869" width="9.140625" style="1"/>
    <col min="15870" max="15870" width="6.5703125" style="1" customWidth="1"/>
    <col min="15871" max="15871" width="30.85546875" style="1" customWidth="1"/>
    <col min="15872" max="15872" width="26.42578125" style="1" customWidth="1"/>
    <col min="15873" max="15873" width="12.42578125" style="1" customWidth="1"/>
    <col min="15874" max="15874" width="12.140625" style="1" customWidth="1"/>
    <col min="15875" max="15875" width="13.7109375" style="1" customWidth="1"/>
    <col min="15876" max="15876" width="27.140625" style="1" customWidth="1"/>
    <col min="15877" max="15877" width="35.7109375" style="1" customWidth="1"/>
    <col min="15878" max="15878" width="25.140625" style="1" customWidth="1"/>
    <col min="15879" max="15879" width="12.5703125" style="1" customWidth="1"/>
    <col min="15880" max="15880" width="11.28515625" style="1" customWidth="1"/>
    <col min="15881" max="15881" width="12.7109375" style="1" customWidth="1"/>
    <col min="15882" max="15882" width="10.42578125" style="1" customWidth="1"/>
    <col min="15883" max="15883" width="13.5703125" style="1" customWidth="1"/>
    <col min="15884" max="15884" width="0" style="1" hidden="1" customWidth="1"/>
    <col min="15885" max="15885" width="11.42578125" style="1" customWidth="1"/>
    <col min="15886" max="15886" width="24" style="1" customWidth="1"/>
    <col min="15887" max="15887" width="13.5703125" style="1" customWidth="1"/>
    <col min="15888" max="16125" width="9.140625" style="1"/>
    <col min="16126" max="16126" width="6.5703125" style="1" customWidth="1"/>
    <col min="16127" max="16127" width="30.85546875" style="1" customWidth="1"/>
    <col min="16128" max="16128" width="26.42578125" style="1" customWidth="1"/>
    <col min="16129" max="16129" width="12.42578125" style="1" customWidth="1"/>
    <col min="16130" max="16130" width="12.140625" style="1" customWidth="1"/>
    <col min="16131" max="16131" width="13.7109375" style="1" customWidth="1"/>
    <col min="16132" max="16132" width="27.140625" style="1" customWidth="1"/>
    <col min="16133" max="16133" width="35.7109375" style="1" customWidth="1"/>
    <col min="16134" max="16134" width="25.140625" style="1" customWidth="1"/>
    <col min="16135" max="16135" width="12.5703125" style="1" customWidth="1"/>
    <col min="16136" max="16136" width="11.28515625" style="1" customWidth="1"/>
    <col min="16137" max="16137" width="12.7109375" style="1" customWidth="1"/>
    <col min="16138" max="16138" width="10.42578125" style="1" customWidth="1"/>
    <col min="16139" max="16139" width="13.5703125" style="1" customWidth="1"/>
    <col min="16140" max="16140" width="0" style="1" hidden="1" customWidth="1"/>
    <col min="16141" max="16141" width="11.42578125" style="1" customWidth="1"/>
    <col min="16142" max="16142" width="24" style="1" customWidth="1"/>
    <col min="16143" max="16143" width="13.5703125" style="1" customWidth="1"/>
    <col min="16144" max="16384" width="9.140625" style="1"/>
  </cols>
  <sheetData>
    <row r="1" spans="1:20" x14ac:dyDescent="0.2">
      <c r="H1" s="2"/>
      <c r="I1" s="2"/>
    </row>
    <row r="2" spans="1:20" x14ac:dyDescent="0.2">
      <c r="E2" s="429"/>
      <c r="F2" s="429"/>
      <c r="H2" s="2"/>
      <c r="I2" s="2"/>
      <c r="O2" s="1" t="s">
        <v>0</v>
      </c>
    </row>
    <row r="3" spans="1:20" x14ac:dyDescent="0.2">
      <c r="A3" s="430" t="s">
        <v>695</v>
      </c>
      <c r="B3" s="430"/>
      <c r="C3" s="431"/>
      <c r="D3" s="431"/>
      <c r="E3" s="431"/>
      <c r="F3" s="431"/>
      <c r="H3" s="2"/>
      <c r="I3" s="2"/>
      <c r="O3" s="1">
        <v>2025</v>
      </c>
    </row>
    <row r="4" spans="1:20" ht="15" x14ac:dyDescent="0.25">
      <c r="A4" s="3"/>
      <c r="B4" s="432"/>
      <c r="C4" s="433"/>
      <c r="D4" s="433"/>
      <c r="E4" s="433"/>
      <c r="F4" s="433"/>
      <c r="G4" s="4"/>
      <c r="H4" s="3"/>
      <c r="I4" s="3"/>
    </row>
    <row r="5" spans="1:20" x14ac:dyDescent="0.2">
      <c r="A5" s="3"/>
      <c r="B5" s="5"/>
      <c r="C5" s="4"/>
      <c r="D5" s="4"/>
      <c r="E5" s="4"/>
      <c r="F5" s="4"/>
      <c r="G5" s="3"/>
      <c r="H5" s="3"/>
      <c r="I5" s="3"/>
    </row>
    <row r="6" spans="1:20" x14ac:dyDescent="0.2">
      <c r="A6" s="6"/>
      <c r="B6" s="6"/>
      <c r="C6" s="6"/>
      <c r="D6" s="6"/>
      <c r="E6" s="6"/>
      <c r="F6" s="6"/>
      <c r="G6" s="6"/>
      <c r="H6" s="6"/>
      <c r="I6" s="3"/>
      <c r="S6" s="3"/>
      <c r="T6" s="3"/>
    </row>
    <row r="7" spans="1:20" ht="42.75" customHeight="1" x14ac:dyDescent="0.2">
      <c r="A7" s="423" t="s">
        <v>1</v>
      </c>
      <c r="B7" s="420" t="s">
        <v>2</v>
      </c>
      <c r="C7" s="423" t="s">
        <v>3</v>
      </c>
      <c r="D7" s="423" t="s">
        <v>4</v>
      </c>
      <c r="E7" s="423" t="s">
        <v>5</v>
      </c>
      <c r="F7" s="423" t="s">
        <v>6</v>
      </c>
      <c r="G7" s="420" t="s">
        <v>7</v>
      </c>
      <c r="H7" s="423" t="s">
        <v>8</v>
      </c>
      <c r="I7" s="423" t="s">
        <v>9</v>
      </c>
      <c r="J7" s="426" t="s">
        <v>10</v>
      </c>
      <c r="K7" s="426"/>
      <c r="L7" s="417" t="s">
        <v>11</v>
      </c>
      <c r="M7" s="417" t="s">
        <v>12</v>
      </c>
      <c r="N7" s="417" t="s">
        <v>13</v>
      </c>
      <c r="S7" s="7"/>
      <c r="T7" s="7"/>
    </row>
    <row r="8" spans="1:20" ht="14.25" customHeight="1" x14ac:dyDescent="0.2">
      <c r="A8" s="424"/>
      <c r="B8" s="421"/>
      <c r="C8" s="424"/>
      <c r="D8" s="424"/>
      <c r="E8" s="424"/>
      <c r="F8" s="424"/>
      <c r="G8" s="421"/>
      <c r="H8" s="424"/>
      <c r="I8" s="424"/>
      <c r="J8" s="417" t="s">
        <v>14</v>
      </c>
      <c r="K8" s="417" t="s">
        <v>15</v>
      </c>
      <c r="L8" s="418"/>
      <c r="M8" s="418"/>
      <c r="N8" s="418"/>
      <c r="S8" s="3"/>
      <c r="T8" s="3"/>
    </row>
    <row r="9" spans="1:20" ht="14.25" customHeight="1" x14ac:dyDescent="0.2">
      <c r="A9" s="424"/>
      <c r="B9" s="421"/>
      <c r="C9" s="424"/>
      <c r="D9" s="424"/>
      <c r="E9" s="424"/>
      <c r="F9" s="424"/>
      <c r="G9" s="421"/>
      <c r="H9" s="424"/>
      <c r="I9" s="424"/>
      <c r="J9" s="418"/>
      <c r="K9" s="418"/>
      <c r="L9" s="418"/>
      <c r="M9" s="418"/>
      <c r="N9" s="418"/>
    </row>
    <row r="10" spans="1:20" ht="80.25" customHeight="1" x14ac:dyDescent="0.2">
      <c r="A10" s="425"/>
      <c r="B10" s="422"/>
      <c r="C10" s="425"/>
      <c r="D10" s="425"/>
      <c r="E10" s="425"/>
      <c r="F10" s="425"/>
      <c r="G10" s="422"/>
      <c r="H10" s="425"/>
      <c r="I10" s="425"/>
      <c r="J10" s="419"/>
      <c r="K10" s="419"/>
      <c r="L10" s="419"/>
      <c r="M10" s="419"/>
      <c r="N10" s="419"/>
    </row>
    <row r="11" spans="1:20" ht="25.5" customHeight="1" x14ac:dyDescent="0.2">
      <c r="A11" s="434">
        <v>1</v>
      </c>
      <c r="B11" s="221" t="s">
        <v>16</v>
      </c>
      <c r="C11" s="222">
        <v>3</v>
      </c>
      <c r="D11" s="223">
        <v>0.4</v>
      </c>
      <c r="E11" s="222">
        <v>0.09</v>
      </c>
      <c r="F11" s="222">
        <v>1</v>
      </c>
      <c r="G11" s="224" t="s">
        <v>17</v>
      </c>
      <c r="H11" s="225" t="s">
        <v>18</v>
      </c>
      <c r="I11" s="222">
        <v>2023</v>
      </c>
      <c r="J11" s="226">
        <f>30*12</f>
        <v>360</v>
      </c>
      <c r="K11" s="226">
        <v>30</v>
      </c>
      <c r="L11" s="8">
        <f t="shared" ref="L11:L74" si="0">J11/12</f>
        <v>30</v>
      </c>
      <c r="M11" s="8">
        <f t="shared" ref="M11:M74" si="1">O$3-I11</f>
        <v>2</v>
      </c>
      <c r="N11" s="9">
        <f t="shared" ref="N11:N74" si="2">M11/K11</f>
        <v>6.6666666666666666E-2</v>
      </c>
      <c r="O11" s="1">
        <v>1</v>
      </c>
    </row>
    <row r="12" spans="1:20" ht="25.5" customHeight="1" x14ac:dyDescent="0.2">
      <c r="A12" s="408"/>
      <c r="B12" s="227" t="s">
        <v>16</v>
      </c>
      <c r="C12" s="228"/>
      <c r="D12" s="229">
        <v>0.4</v>
      </c>
      <c r="E12" s="228">
        <v>0.09</v>
      </c>
      <c r="F12" s="228">
        <v>1</v>
      </c>
      <c r="G12" s="230" t="s">
        <v>17</v>
      </c>
      <c r="H12" s="231" t="s">
        <v>18</v>
      </c>
      <c r="I12" s="228">
        <v>2023</v>
      </c>
      <c r="J12" s="232">
        <f>30*12</f>
        <v>360</v>
      </c>
      <c r="K12" s="232">
        <v>30</v>
      </c>
      <c r="L12" s="18">
        <f>J12/12</f>
        <v>30</v>
      </c>
      <c r="M12" s="18">
        <f>O$3-I12</f>
        <v>2</v>
      </c>
      <c r="N12" s="19">
        <f>M12/K12</f>
        <v>6.6666666666666666E-2</v>
      </c>
      <c r="O12" s="1">
        <f>O11+1</f>
        <v>2</v>
      </c>
    </row>
    <row r="13" spans="1:20" ht="23.25" customHeight="1" x14ac:dyDescent="0.2">
      <c r="A13" s="409"/>
      <c r="B13" s="10" t="s">
        <v>19</v>
      </c>
      <c r="C13" s="11">
        <v>18</v>
      </c>
      <c r="D13" s="12">
        <v>0.4</v>
      </c>
      <c r="E13" s="13">
        <v>0.14000000000000001</v>
      </c>
      <c r="F13" s="13">
        <v>1</v>
      </c>
      <c r="G13" s="14" t="s">
        <v>20</v>
      </c>
      <c r="H13" s="22" t="s">
        <v>21</v>
      </c>
      <c r="I13" s="11">
        <v>1962</v>
      </c>
      <c r="J13" s="16">
        <f>30*12</f>
        <v>360</v>
      </c>
      <c r="K13" s="16">
        <v>30</v>
      </c>
      <c r="L13" s="17">
        <f t="shared" si="0"/>
        <v>30</v>
      </c>
      <c r="M13" s="17">
        <f t="shared" si="1"/>
        <v>63</v>
      </c>
      <c r="N13" s="19">
        <f t="shared" si="2"/>
        <v>2.1</v>
      </c>
      <c r="O13" s="1">
        <f t="shared" ref="O13:O76" si="3">O12+1</f>
        <v>3</v>
      </c>
    </row>
    <row r="14" spans="1:20" x14ac:dyDescent="0.2">
      <c r="A14" s="409"/>
      <c r="B14" s="227" t="s">
        <v>22</v>
      </c>
      <c r="C14" s="228">
        <v>12</v>
      </c>
      <c r="D14" s="229">
        <v>0.4</v>
      </c>
      <c r="E14" s="228">
        <v>0.17</v>
      </c>
      <c r="F14" s="228">
        <v>1</v>
      </c>
      <c r="G14" s="230" t="s">
        <v>17</v>
      </c>
      <c r="H14" s="231" t="s">
        <v>23</v>
      </c>
      <c r="I14" s="228">
        <v>2023</v>
      </c>
      <c r="J14" s="232">
        <f t="shared" ref="J14:J98" si="4">30*12</f>
        <v>360</v>
      </c>
      <c r="K14" s="232">
        <v>30</v>
      </c>
      <c r="L14" s="18">
        <f t="shared" si="0"/>
        <v>30</v>
      </c>
      <c r="M14" s="18">
        <f t="shared" si="1"/>
        <v>2</v>
      </c>
      <c r="N14" s="19">
        <f t="shared" si="2"/>
        <v>6.6666666666666666E-2</v>
      </c>
      <c r="O14" s="1">
        <f t="shared" si="3"/>
        <v>4</v>
      </c>
    </row>
    <row r="15" spans="1:20" x14ac:dyDescent="0.2">
      <c r="A15" s="409"/>
      <c r="B15" s="227" t="s">
        <v>22</v>
      </c>
      <c r="C15" s="228">
        <v>12</v>
      </c>
      <c r="D15" s="229">
        <v>0.4</v>
      </c>
      <c r="E15" s="233">
        <v>0.18</v>
      </c>
      <c r="F15" s="228">
        <v>1</v>
      </c>
      <c r="G15" s="234" t="s">
        <v>24</v>
      </c>
      <c r="H15" s="231" t="s">
        <v>23</v>
      </c>
      <c r="I15" s="228">
        <v>2019</v>
      </c>
      <c r="J15" s="232">
        <f t="shared" si="4"/>
        <v>360</v>
      </c>
      <c r="K15" s="232">
        <v>30</v>
      </c>
      <c r="L15" s="18">
        <f t="shared" si="0"/>
        <v>30</v>
      </c>
      <c r="M15" s="18">
        <f t="shared" si="1"/>
        <v>6</v>
      </c>
      <c r="N15" s="19">
        <f t="shared" si="2"/>
        <v>0.2</v>
      </c>
      <c r="O15" s="1">
        <f t="shared" si="3"/>
        <v>5</v>
      </c>
    </row>
    <row r="16" spans="1:20" x14ac:dyDescent="0.2">
      <c r="A16" s="409"/>
      <c r="B16" s="227" t="s">
        <v>25</v>
      </c>
      <c r="C16" s="228">
        <v>5</v>
      </c>
      <c r="D16" s="229">
        <v>0.4</v>
      </c>
      <c r="E16" s="228">
        <f>0.17/2</f>
        <v>8.5000000000000006E-2</v>
      </c>
      <c r="F16" s="228">
        <v>1</v>
      </c>
      <c r="G16" s="234" t="s">
        <v>24</v>
      </c>
      <c r="H16" s="231" t="s">
        <v>23</v>
      </c>
      <c r="I16" s="228">
        <v>2017</v>
      </c>
      <c r="J16" s="232">
        <f t="shared" si="4"/>
        <v>360</v>
      </c>
      <c r="K16" s="232">
        <v>30</v>
      </c>
      <c r="L16" s="18">
        <f t="shared" si="0"/>
        <v>30</v>
      </c>
      <c r="M16" s="18">
        <f t="shared" si="1"/>
        <v>8</v>
      </c>
      <c r="N16" s="19">
        <f t="shared" si="2"/>
        <v>0.26666666666666666</v>
      </c>
      <c r="O16" s="1">
        <f t="shared" si="3"/>
        <v>6</v>
      </c>
    </row>
    <row r="17" spans="1:15" x14ac:dyDescent="0.2">
      <c r="A17" s="410"/>
      <c r="B17" s="227" t="s">
        <v>25</v>
      </c>
      <c r="C17" s="228">
        <v>11</v>
      </c>
      <c r="D17" s="229">
        <v>0.4</v>
      </c>
      <c r="E17" s="228">
        <f>0.17/2</f>
        <v>8.5000000000000006E-2</v>
      </c>
      <c r="F17" s="228">
        <v>1</v>
      </c>
      <c r="G17" s="234" t="s">
        <v>24</v>
      </c>
      <c r="H17" s="231" t="s">
        <v>23</v>
      </c>
      <c r="I17" s="228">
        <v>2017</v>
      </c>
      <c r="J17" s="232">
        <f t="shared" si="4"/>
        <v>360</v>
      </c>
      <c r="K17" s="232">
        <v>30</v>
      </c>
      <c r="L17" s="18">
        <f>J17/12</f>
        <v>30</v>
      </c>
      <c r="M17" s="18">
        <f>O$3-I17</f>
        <v>8</v>
      </c>
      <c r="N17" s="19">
        <f>M17/K17</f>
        <v>0.26666666666666666</v>
      </c>
      <c r="O17" s="1">
        <f t="shared" si="3"/>
        <v>7</v>
      </c>
    </row>
    <row r="18" spans="1:15" x14ac:dyDescent="0.2">
      <c r="A18" s="410"/>
      <c r="B18" s="58" t="s">
        <v>26</v>
      </c>
      <c r="C18" s="13" t="s">
        <v>27</v>
      </c>
      <c r="D18" s="51">
        <v>0.4</v>
      </c>
      <c r="E18" s="45">
        <f>0.68/2</f>
        <v>0.34</v>
      </c>
      <c r="F18" s="13">
        <v>1</v>
      </c>
      <c r="G18" s="14" t="s">
        <v>28</v>
      </c>
      <c r="H18" s="14" t="s">
        <v>29</v>
      </c>
      <c r="I18" s="13">
        <v>1999</v>
      </c>
      <c r="J18" s="16">
        <f t="shared" si="4"/>
        <v>360</v>
      </c>
      <c r="K18" s="16">
        <v>30</v>
      </c>
      <c r="L18" s="17">
        <f>J18/12</f>
        <v>30</v>
      </c>
      <c r="M18" s="17">
        <f>O$3-I18</f>
        <v>26</v>
      </c>
      <c r="N18" s="19">
        <f>M18/K18</f>
        <v>0.8666666666666667</v>
      </c>
      <c r="O18" s="1">
        <f t="shared" si="3"/>
        <v>8</v>
      </c>
    </row>
    <row r="19" spans="1:15" ht="28.5" customHeight="1" thickBot="1" x14ac:dyDescent="0.25">
      <c r="A19" s="407"/>
      <c r="B19" s="67" t="s">
        <v>26</v>
      </c>
      <c r="C19" s="28" t="s">
        <v>30</v>
      </c>
      <c r="D19" s="46">
        <v>0.4</v>
      </c>
      <c r="E19" s="342">
        <v>0.34</v>
      </c>
      <c r="F19" s="28">
        <v>1</v>
      </c>
      <c r="G19" s="29" t="s">
        <v>28</v>
      </c>
      <c r="H19" s="29" t="s">
        <v>29</v>
      </c>
      <c r="I19" s="28">
        <v>1999</v>
      </c>
      <c r="J19" s="31">
        <f t="shared" si="4"/>
        <v>360</v>
      </c>
      <c r="K19" s="31">
        <v>30</v>
      </c>
      <c r="L19" s="32">
        <f t="shared" si="0"/>
        <v>30</v>
      </c>
      <c r="M19" s="32">
        <f t="shared" si="1"/>
        <v>26</v>
      </c>
      <c r="N19" s="33">
        <f t="shared" si="2"/>
        <v>0.8666666666666667</v>
      </c>
      <c r="O19" s="1">
        <f t="shared" si="3"/>
        <v>9</v>
      </c>
    </row>
    <row r="20" spans="1:15" ht="31.5" customHeight="1" x14ac:dyDescent="0.2">
      <c r="A20" s="406">
        <v>2</v>
      </c>
      <c r="B20" s="244" t="s">
        <v>31</v>
      </c>
      <c r="C20" s="245" t="s">
        <v>32</v>
      </c>
      <c r="D20" s="246">
        <v>0.4</v>
      </c>
      <c r="E20" s="247">
        <f>0.28/2</f>
        <v>0.14000000000000001</v>
      </c>
      <c r="F20" s="245">
        <v>1</v>
      </c>
      <c r="G20" s="248" t="s">
        <v>33</v>
      </c>
      <c r="H20" s="249" t="s">
        <v>34</v>
      </c>
      <c r="I20" s="245">
        <v>2016</v>
      </c>
      <c r="J20" s="250">
        <f t="shared" si="4"/>
        <v>360</v>
      </c>
      <c r="K20" s="250">
        <v>30</v>
      </c>
      <c r="L20" s="42">
        <f t="shared" si="0"/>
        <v>30</v>
      </c>
      <c r="M20" s="42">
        <f t="shared" si="1"/>
        <v>9</v>
      </c>
      <c r="N20" s="43">
        <f t="shared" si="2"/>
        <v>0.3</v>
      </c>
      <c r="O20" s="1">
        <f t="shared" si="3"/>
        <v>10</v>
      </c>
    </row>
    <row r="21" spans="1:15" ht="31.5" customHeight="1" x14ac:dyDescent="0.2">
      <c r="A21" s="408"/>
      <c r="B21" s="227" t="s">
        <v>31</v>
      </c>
      <c r="C21" s="228" t="s">
        <v>32</v>
      </c>
      <c r="D21" s="229">
        <v>0.4</v>
      </c>
      <c r="E21" s="233">
        <v>0.14000000000000001</v>
      </c>
      <c r="F21" s="228">
        <v>1</v>
      </c>
      <c r="G21" s="230" t="s">
        <v>33</v>
      </c>
      <c r="H21" s="231" t="s">
        <v>34</v>
      </c>
      <c r="I21" s="228">
        <v>2016</v>
      </c>
      <c r="J21" s="232">
        <f t="shared" si="4"/>
        <v>360</v>
      </c>
      <c r="K21" s="232">
        <v>30</v>
      </c>
      <c r="L21" s="18">
        <f>J21/12</f>
        <v>30</v>
      </c>
      <c r="M21" s="18">
        <f>O$3-I21</f>
        <v>9</v>
      </c>
      <c r="N21" s="19">
        <f>M21/K21</f>
        <v>0.3</v>
      </c>
      <c r="O21" s="1">
        <f t="shared" si="3"/>
        <v>11</v>
      </c>
    </row>
    <row r="22" spans="1:15" ht="30" customHeight="1" x14ac:dyDescent="0.2">
      <c r="A22" s="409"/>
      <c r="B22" s="10" t="s">
        <v>35</v>
      </c>
      <c r="C22" s="11">
        <v>3</v>
      </c>
      <c r="D22" s="12">
        <v>0.4</v>
      </c>
      <c r="E22" s="44">
        <f>0.24/4</f>
        <v>0.06</v>
      </c>
      <c r="F22" s="13">
        <v>1</v>
      </c>
      <c r="G22" s="14" t="s">
        <v>36</v>
      </c>
      <c r="H22" s="15" t="s">
        <v>18</v>
      </c>
      <c r="I22" s="11">
        <v>1997</v>
      </c>
      <c r="J22" s="16">
        <f t="shared" si="4"/>
        <v>360</v>
      </c>
      <c r="K22" s="16">
        <v>30</v>
      </c>
      <c r="L22" s="17">
        <f t="shared" si="0"/>
        <v>30</v>
      </c>
      <c r="M22" s="17">
        <f t="shared" si="1"/>
        <v>28</v>
      </c>
      <c r="N22" s="19">
        <f t="shared" si="2"/>
        <v>0.93333333333333335</v>
      </c>
      <c r="O22" s="1">
        <f t="shared" si="3"/>
        <v>12</v>
      </c>
    </row>
    <row r="23" spans="1:15" ht="30" customHeight="1" x14ac:dyDescent="0.2">
      <c r="A23" s="409"/>
      <c r="B23" s="10" t="s">
        <v>35</v>
      </c>
      <c r="C23" s="11">
        <v>3</v>
      </c>
      <c r="D23" s="12">
        <v>0.4</v>
      </c>
      <c r="E23" s="44">
        <v>0.06</v>
      </c>
      <c r="F23" s="13">
        <v>1</v>
      </c>
      <c r="G23" s="14" t="s">
        <v>36</v>
      </c>
      <c r="H23" s="15" t="s">
        <v>18</v>
      </c>
      <c r="I23" s="11">
        <v>1997</v>
      </c>
      <c r="J23" s="16">
        <f t="shared" si="4"/>
        <v>360</v>
      </c>
      <c r="K23" s="16">
        <v>30</v>
      </c>
      <c r="L23" s="17">
        <f>J23/12</f>
        <v>30</v>
      </c>
      <c r="M23" s="17">
        <f>O$3-I23</f>
        <v>28</v>
      </c>
      <c r="N23" s="19">
        <f>M23/K23</f>
        <v>0.93333333333333335</v>
      </c>
      <c r="O23" s="1">
        <f t="shared" si="3"/>
        <v>13</v>
      </c>
    </row>
    <row r="24" spans="1:15" ht="30" customHeight="1" x14ac:dyDescent="0.2">
      <c r="A24" s="409"/>
      <c r="B24" s="10" t="s">
        <v>35</v>
      </c>
      <c r="C24" s="11">
        <v>7</v>
      </c>
      <c r="D24" s="12">
        <v>0.4</v>
      </c>
      <c r="E24" s="44">
        <v>0.06</v>
      </c>
      <c r="F24" s="13">
        <v>1</v>
      </c>
      <c r="G24" s="14" t="s">
        <v>36</v>
      </c>
      <c r="H24" s="15" t="s">
        <v>18</v>
      </c>
      <c r="I24" s="11">
        <v>1997</v>
      </c>
      <c r="J24" s="16">
        <f t="shared" si="4"/>
        <v>360</v>
      </c>
      <c r="K24" s="16">
        <v>30</v>
      </c>
      <c r="L24" s="17">
        <f>J24/12</f>
        <v>30</v>
      </c>
      <c r="M24" s="17">
        <f>O$3-I24</f>
        <v>28</v>
      </c>
      <c r="N24" s="19">
        <f>M24/K24</f>
        <v>0.93333333333333335</v>
      </c>
      <c r="O24" s="1">
        <f t="shared" si="3"/>
        <v>14</v>
      </c>
    </row>
    <row r="25" spans="1:15" ht="30" customHeight="1" x14ac:dyDescent="0.2">
      <c r="A25" s="409"/>
      <c r="B25" s="10" t="s">
        <v>35</v>
      </c>
      <c r="C25" s="11">
        <v>7</v>
      </c>
      <c r="D25" s="12">
        <v>0.4</v>
      </c>
      <c r="E25" s="44">
        <v>0.06</v>
      </c>
      <c r="F25" s="13">
        <v>1</v>
      </c>
      <c r="G25" s="14" t="s">
        <v>36</v>
      </c>
      <c r="H25" s="15" t="s">
        <v>18</v>
      </c>
      <c r="I25" s="11">
        <v>1997</v>
      </c>
      <c r="J25" s="16">
        <f t="shared" si="4"/>
        <v>360</v>
      </c>
      <c r="K25" s="16">
        <v>30</v>
      </c>
      <c r="L25" s="17">
        <f>J25/12</f>
        <v>30</v>
      </c>
      <c r="M25" s="17">
        <f>O$3-I25</f>
        <v>28</v>
      </c>
      <c r="N25" s="19">
        <f>M25/K25</f>
        <v>0.93333333333333335</v>
      </c>
      <c r="O25" s="1">
        <f t="shared" si="3"/>
        <v>15</v>
      </c>
    </row>
    <row r="26" spans="1:15" ht="31.5" customHeight="1" x14ac:dyDescent="0.2">
      <c r="A26" s="409"/>
      <c r="B26" s="227" t="s">
        <v>37</v>
      </c>
      <c r="C26" s="228">
        <v>5</v>
      </c>
      <c r="D26" s="229">
        <v>0.4</v>
      </c>
      <c r="E26" s="233">
        <f>0.92/2</f>
        <v>0.46</v>
      </c>
      <c r="F26" s="228">
        <v>1</v>
      </c>
      <c r="G26" s="230" t="s">
        <v>38</v>
      </c>
      <c r="H26" s="231" t="s">
        <v>29</v>
      </c>
      <c r="I26" s="228">
        <v>2019</v>
      </c>
      <c r="J26" s="232">
        <f t="shared" si="4"/>
        <v>360</v>
      </c>
      <c r="K26" s="232">
        <v>30</v>
      </c>
      <c r="L26" s="18">
        <f t="shared" si="0"/>
        <v>30</v>
      </c>
      <c r="M26" s="18">
        <f t="shared" si="1"/>
        <v>6</v>
      </c>
      <c r="N26" s="19">
        <f t="shared" si="2"/>
        <v>0.2</v>
      </c>
      <c r="O26" s="1">
        <f t="shared" si="3"/>
        <v>16</v>
      </c>
    </row>
    <row r="27" spans="1:15" ht="30" customHeight="1" x14ac:dyDescent="0.2">
      <c r="A27" s="409"/>
      <c r="B27" s="227" t="s">
        <v>37</v>
      </c>
      <c r="C27" s="228">
        <v>15</v>
      </c>
      <c r="D27" s="229">
        <v>0.4</v>
      </c>
      <c r="E27" s="233">
        <v>0.46</v>
      </c>
      <c r="F27" s="228">
        <v>1</v>
      </c>
      <c r="G27" s="230" t="s">
        <v>38</v>
      </c>
      <c r="H27" s="231" t="s">
        <v>29</v>
      </c>
      <c r="I27" s="228">
        <v>2019</v>
      </c>
      <c r="J27" s="232">
        <f t="shared" si="4"/>
        <v>360</v>
      </c>
      <c r="K27" s="232">
        <v>30</v>
      </c>
      <c r="L27" s="18">
        <f>J27/12</f>
        <v>30</v>
      </c>
      <c r="M27" s="18">
        <f>O$3-I27</f>
        <v>6</v>
      </c>
      <c r="N27" s="19">
        <f>M27/K27</f>
        <v>0.2</v>
      </c>
      <c r="O27" s="1">
        <f t="shared" si="3"/>
        <v>17</v>
      </c>
    </row>
    <row r="28" spans="1:15" ht="25.5" customHeight="1" x14ac:dyDescent="0.2">
      <c r="A28" s="409"/>
      <c r="B28" s="262" t="s">
        <v>39</v>
      </c>
      <c r="C28" s="263">
        <v>7</v>
      </c>
      <c r="D28" s="264">
        <v>0.4</v>
      </c>
      <c r="E28" s="274">
        <v>0.11</v>
      </c>
      <c r="F28" s="263">
        <v>1</v>
      </c>
      <c r="G28" s="265" t="s">
        <v>40</v>
      </c>
      <c r="H28" s="275" t="s">
        <v>41</v>
      </c>
      <c r="I28" s="263">
        <v>2004</v>
      </c>
      <c r="J28" s="266">
        <f t="shared" si="4"/>
        <v>360</v>
      </c>
      <c r="K28" s="266">
        <v>30</v>
      </c>
      <c r="L28" s="267">
        <f t="shared" si="0"/>
        <v>30</v>
      </c>
      <c r="M28" s="267">
        <f t="shared" si="1"/>
        <v>21</v>
      </c>
      <c r="N28" s="19">
        <f t="shared" si="2"/>
        <v>0.7</v>
      </c>
      <c r="O28" s="1">
        <f t="shared" si="3"/>
        <v>18</v>
      </c>
    </row>
    <row r="29" spans="1:15" ht="25.5" customHeight="1" x14ac:dyDescent="0.2">
      <c r="A29" s="409"/>
      <c r="B29" s="262" t="s">
        <v>42</v>
      </c>
      <c r="C29" s="263">
        <v>6</v>
      </c>
      <c r="D29" s="264">
        <v>0.4</v>
      </c>
      <c r="E29" s="274">
        <v>0.04</v>
      </c>
      <c r="F29" s="263">
        <v>1</v>
      </c>
      <c r="G29" s="265" t="s">
        <v>43</v>
      </c>
      <c r="H29" s="275" t="s">
        <v>44</v>
      </c>
      <c r="I29" s="263">
        <v>2000</v>
      </c>
      <c r="J29" s="266">
        <f t="shared" si="4"/>
        <v>360</v>
      </c>
      <c r="K29" s="266">
        <v>30</v>
      </c>
      <c r="L29" s="267">
        <f t="shared" si="0"/>
        <v>30</v>
      </c>
      <c r="M29" s="267">
        <f t="shared" si="1"/>
        <v>25</v>
      </c>
      <c r="N29" s="19">
        <f t="shared" si="2"/>
        <v>0.83333333333333337</v>
      </c>
      <c r="O29" s="1">
        <f t="shared" si="3"/>
        <v>19</v>
      </c>
    </row>
    <row r="30" spans="1:15" ht="24" customHeight="1" x14ac:dyDescent="0.2">
      <c r="A30" s="409"/>
      <c r="B30" s="297" t="s">
        <v>45</v>
      </c>
      <c r="C30" s="228">
        <v>5</v>
      </c>
      <c r="D30" s="229">
        <v>0.4</v>
      </c>
      <c r="E30" s="298">
        <v>0.19800000000000001</v>
      </c>
      <c r="F30" s="228">
        <v>1</v>
      </c>
      <c r="G30" s="230" t="s">
        <v>46</v>
      </c>
      <c r="H30" s="231" t="s">
        <v>29</v>
      </c>
      <c r="I30" s="228">
        <v>2018</v>
      </c>
      <c r="J30" s="232">
        <f t="shared" si="4"/>
        <v>360</v>
      </c>
      <c r="K30" s="232">
        <v>30</v>
      </c>
      <c r="L30" s="18">
        <f t="shared" si="0"/>
        <v>30</v>
      </c>
      <c r="M30" s="18">
        <f t="shared" si="1"/>
        <v>7</v>
      </c>
      <c r="N30" s="19">
        <f t="shared" si="2"/>
        <v>0.23333333333333334</v>
      </c>
      <c r="O30" s="1">
        <f t="shared" si="3"/>
        <v>20</v>
      </c>
    </row>
    <row r="31" spans="1:15" ht="35.25" customHeight="1" thickBot="1" x14ac:dyDescent="0.25">
      <c r="A31" s="407"/>
      <c r="B31" s="299" t="s">
        <v>47</v>
      </c>
      <c r="C31" s="242">
        <v>5</v>
      </c>
      <c r="D31" s="242">
        <v>0.4</v>
      </c>
      <c r="E31" s="343">
        <v>0.33600000000000002</v>
      </c>
      <c r="F31" s="238">
        <v>1</v>
      </c>
      <c r="G31" s="240" t="s">
        <v>38</v>
      </c>
      <c r="H31" s="241" t="s">
        <v>29</v>
      </c>
      <c r="I31" s="242">
        <v>2018</v>
      </c>
      <c r="J31" s="243">
        <f t="shared" si="4"/>
        <v>360</v>
      </c>
      <c r="K31" s="243">
        <v>30</v>
      </c>
      <c r="L31" s="48">
        <f t="shared" si="0"/>
        <v>30</v>
      </c>
      <c r="M31" s="48">
        <f t="shared" si="1"/>
        <v>7</v>
      </c>
      <c r="N31" s="33">
        <f t="shared" si="2"/>
        <v>0.23333333333333334</v>
      </c>
      <c r="O31" s="1">
        <f t="shared" si="3"/>
        <v>21</v>
      </c>
    </row>
    <row r="32" spans="1:15" x14ac:dyDescent="0.2">
      <c r="A32" s="406">
        <v>3</v>
      </c>
      <c r="B32" s="34" t="s">
        <v>48</v>
      </c>
      <c r="C32" s="36">
        <v>3</v>
      </c>
      <c r="D32" s="36">
        <v>0.4</v>
      </c>
      <c r="E32" s="37">
        <v>0.08</v>
      </c>
      <c r="F32" s="49">
        <v>1</v>
      </c>
      <c r="G32" s="50" t="s">
        <v>49</v>
      </c>
      <c r="H32" s="39" t="s">
        <v>44</v>
      </c>
      <c r="I32" s="35">
        <v>1985</v>
      </c>
      <c r="J32" s="40">
        <f t="shared" si="4"/>
        <v>360</v>
      </c>
      <c r="K32" s="40">
        <v>30</v>
      </c>
      <c r="L32" s="41">
        <f t="shared" si="0"/>
        <v>30</v>
      </c>
      <c r="M32" s="41">
        <f t="shared" si="1"/>
        <v>40</v>
      </c>
      <c r="N32" s="43">
        <f t="shared" si="2"/>
        <v>1.3333333333333333</v>
      </c>
      <c r="O32" s="1">
        <f t="shared" si="3"/>
        <v>22</v>
      </c>
    </row>
    <row r="33" spans="1:15" x14ac:dyDescent="0.2">
      <c r="A33" s="409"/>
      <c r="B33" s="10" t="s">
        <v>48</v>
      </c>
      <c r="C33" s="12">
        <v>3</v>
      </c>
      <c r="D33" s="12">
        <v>0.4</v>
      </c>
      <c r="E33" s="13">
        <v>0.06</v>
      </c>
      <c r="F33" s="51">
        <v>1</v>
      </c>
      <c r="G33" s="22" t="s">
        <v>49</v>
      </c>
      <c r="H33" s="15" t="s">
        <v>44</v>
      </c>
      <c r="I33" s="11">
        <v>1985</v>
      </c>
      <c r="J33" s="16">
        <f t="shared" si="4"/>
        <v>360</v>
      </c>
      <c r="K33" s="16">
        <v>30</v>
      </c>
      <c r="L33" s="17">
        <f t="shared" si="0"/>
        <v>30</v>
      </c>
      <c r="M33" s="17">
        <f t="shared" si="1"/>
        <v>40</v>
      </c>
      <c r="N33" s="19">
        <f t="shared" si="2"/>
        <v>1.3333333333333333</v>
      </c>
      <c r="O33" s="1">
        <f t="shared" si="3"/>
        <v>23</v>
      </c>
    </row>
    <row r="34" spans="1:15" x14ac:dyDescent="0.2">
      <c r="A34" s="409"/>
      <c r="B34" s="10" t="s">
        <v>48</v>
      </c>
      <c r="C34" s="12">
        <v>3</v>
      </c>
      <c r="D34" s="12">
        <v>0.4</v>
      </c>
      <c r="E34" s="13">
        <v>0.04</v>
      </c>
      <c r="F34" s="51">
        <v>1</v>
      </c>
      <c r="G34" s="22" t="s">
        <v>49</v>
      </c>
      <c r="H34" s="15" t="s">
        <v>44</v>
      </c>
      <c r="I34" s="11">
        <v>1985</v>
      </c>
      <c r="J34" s="16">
        <f t="shared" si="4"/>
        <v>360</v>
      </c>
      <c r="K34" s="16">
        <v>30</v>
      </c>
      <c r="L34" s="17">
        <f t="shared" si="0"/>
        <v>30</v>
      </c>
      <c r="M34" s="17">
        <f t="shared" si="1"/>
        <v>40</v>
      </c>
      <c r="N34" s="19">
        <f t="shared" si="2"/>
        <v>1.3333333333333333</v>
      </c>
      <c r="O34" s="1">
        <f t="shared" si="3"/>
        <v>24</v>
      </c>
    </row>
    <row r="35" spans="1:15" x14ac:dyDescent="0.2">
      <c r="A35" s="409"/>
      <c r="B35" s="10" t="s">
        <v>48</v>
      </c>
      <c r="C35" s="11">
        <v>3</v>
      </c>
      <c r="D35" s="12">
        <v>0.4</v>
      </c>
      <c r="E35" s="13">
        <v>2.5000000000000001E-2</v>
      </c>
      <c r="F35" s="13">
        <v>1</v>
      </c>
      <c r="G35" s="22" t="s">
        <v>49</v>
      </c>
      <c r="H35" s="15" t="s">
        <v>44</v>
      </c>
      <c r="I35" s="11">
        <v>1985</v>
      </c>
      <c r="J35" s="16">
        <f t="shared" si="4"/>
        <v>360</v>
      </c>
      <c r="K35" s="16">
        <v>30</v>
      </c>
      <c r="L35" s="17">
        <f t="shared" si="0"/>
        <v>30</v>
      </c>
      <c r="M35" s="17">
        <f t="shared" si="1"/>
        <v>40</v>
      </c>
      <c r="N35" s="19">
        <f t="shared" si="2"/>
        <v>1.3333333333333333</v>
      </c>
      <c r="O35" s="1">
        <f t="shared" si="3"/>
        <v>25</v>
      </c>
    </row>
    <row r="36" spans="1:15" x14ac:dyDescent="0.2">
      <c r="A36" s="409"/>
      <c r="B36" s="227" t="s">
        <v>50</v>
      </c>
      <c r="C36" s="228">
        <v>4</v>
      </c>
      <c r="D36" s="229">
        <v>0.4</v>
      </c>
      <c r="E36" s="228">
        <v>0.1</v>
      </c>
      <c r="F36" s="228">
        <v>1</v>
      </c>
      <c r="G36" s="230" t="s">
        <v>696</v>
      </c>
      <c r="H36" s="231" t="s">
        <v>34</v>
      </c>
      <c r="I36" s="228">
        <v>2025</v>
      </c>
      <c r="J36" s="232">
        <f t="shared" si="4"/>
        <v>360</v>
      </c>
      <c r="K36" s="232">
        <v>30</v>
      </c>
      <c r="L36" s="18">
        <f t="shared" si="0"/>
        <v>30</v>
      </c>
      <c r="M36" s="18">
        <f t="shared" si="1"/>
        <v>0</v>
      </c>
      <c r="N36" s="19">
        <f t="shared" si="2"/>
        <v>0</v>
      </c>
      <c r="O36" s="1">
        <f t="shared" si="3"/>
        <v>26</v>
      </c>
    </row>
    <row r="37" spans="1:15" x14ac:dyDescent="0.2">
      <c r="A37" s="409"/>
      <c r="B37" s="52" t="s">
        <v>53</v>
      </c>
      <c r="C37" s="11" t="s">
        <v>54</v>
      </c>
      <c r="D37" s="12">
        <v>0.4</v>
      </c>
      <c r="E37" s="13">
        <v>0.14000000000000001</v>
      </c>
      <c r="F37" s="51">
        <v>1</v>
      </c>
      <c r="G37" s="14" t="s">
        <v>55</v>
      </c>
      <c r="H37" s="15" t="s">
        <v>56</v>
      </c>
      <c r="I37" s="11">
        <v>1975</v>
      </c>
      <c r="J37" s="16">
        <f t="shared" si="4"/>
        <v>360</v>
      </c>
      <c r="K37" s="16">
        <v>30</v>
      </c>
      <c r="L37" s="17">
        <f t="shared" si="0"/>
        <v>30</v>
      </c>
      <c r="M37" s="17">
        <f t="shared" si="1"/>
        <v>50</v>
      </c>
      <c r="N37" s="19">
        <f t="shared" si="2"/>
        <v>1.6666666666666667</v>
      </c>
      <c r="O37" s="1">
        <f t="shared" si="3"/>
        <v>27</v>
      </c>
    </row>
    <row r="38" spans="1:15" ht="12.75" customHeight="1" thickBot="1" x14ac:dyDescent="0.25">
      <c r="A38" s="407"/>
      <c r="B38" s="53" t="s">
        <v>53</v>
      </c>
      <c r="C38" s="26" t="s">
        <v>57</v>
      </c>
      <c r="D38" s="27">
        <v>0.4</v>
      </c>
      <c r="E38" s="28">
        <v>0.14000000000000001</v>
      </c>
      <c r="F38" s="28">
        <v>1</v>
      </c>
      <c r="G38" s="29" t="s">
        <v>58</v>
      </c>
      <c r="H38" s="47" t="s">
        <v>56</v>
      </c>
      <c r="I38" s="26">
        <v>1975</v>
      </c>
      <c r="J38" s="31">
        <f t="shared" si="4"/>
        <v>360</v>
      </c>
      <c r="K38" s="31">
        <v>30</v>
      </c>
      <c r="L38" s="32">
        <f t="shared" si="0"/>
        <v>30</v>
      </c>
      <c r="M38" s="32">
        <f t="shared" si="1"/>
        <v>50</v>
      </c>
      <c r="N38" s="33">
        <f t="shared" si="2"/>
        <v>1.6666666666666667</v>
      </c>
      <c r="O38" s="1">
        <f t="shared" si="3"/>
        <v>28</v>
      </c>
    </row>
    <row r="39" spans="1:15" ht="29.25" customHeight="1" x14ac:dyDescent="0.2">
      <c r="A39" s="406">
        <v>4</v>
      </c>
      <c r="B39" s="34" t="s">
        <v>59</v>
      </c>
      <c r="C39" s="35">
        <v>4</v>
      </c>
      <c r="D39" s="36">
        <v>0.4</v>
      </c>
      <c r="E39" s="37">
        <v>0.05</v>
      </c>
      <c r="F39" s="49">
        <v>1</v>
      </c>
      <c r="G39" s="38" t="s">
        <v>60</v>
      </c>
      <c r="H39" s="39" t="s">
        <v>61</v>
      </c>
      <c r="I39" s="35">
        <v>1996</v>
      </c>
      <c r="J39" s="40">
        <f t="shared" si="4"/>
        <v>360</v>
      </c>
      <c r="K39" s="40">
        <v>30</v>
      </c>
      <c r="L39" s="41">
        <f t="shared" si="0"/>
        <v>30</v>
      </c>
      <c r="M39" s="41">
        <f t="shared" si="1"/>
        <v>29</v>
      </c>
      <c r="N39" s="43">
        <f t="shared" si="2"/>
        <v>0.96666666666666667</v>
      </c>
      <c r="O39" s="1">
        <f t="shared" si="3"/>
        <v>29</v>
      </c>
    </row>
    <row r="40" spans="1:15" ht="25.5" customHeight="1" thickBot="1" x14ac:dyDescent="0.25">
      <c r="A40" s="407"/>
      <c r="B40" s="53" t="s">
        <v>62</v>
      </c>
      <c r="C40" s="26">
        <v>2</v>
      </c>
      <c r="D40" s="27">
        <v>0.4</v>
      </c>
      <c r="E40" s="28">
        <v>0.1</v>
      </c>
      <c r="F40" s="46">
        <v>1</v>
      </c>
      <c r="G40" s="29" t="s">
        <v>63</v>
      </c>
      <c r="H40" s="47" t="s">
        <v>61</v>
      </c>
      <c r="I40" s="26">
        <v>1996</v>
      </c>
      <c r="J40" s="31">
        <f t="shared" si="4"/>
        <v>360</v>
      </c>
      <c r="K40" s="31">
        <v>30</v>
      </c>
      <c r="L40" s="32">
        <f t="shared" si="0"/>
        <v>30</v>
      </c>
      <c r="M40" s="32">
        <f t="shared" si="1"/>
        <v>29</v>
      </c>
      <c r="N40" s="33">
        <f t="shared" si="2"/>
        <v>0.96666666666666667</v>
      </c>
      <c r="O40" s="1">
        <f t="shared" si="3"/>
        <v>30</v>
      </c>
    </row>
    <row r="41" spans="1:15" ht="18" customHeight="1" x14ac:dyDescent="0.2">
      <c r="A41" s="406">
        <v>5</v>
      </c>
      <c r="B41" s="306" t="s">
        <v>64</v>
      </c>
      <c r="C41" s="318">
        <v>7</v>
      </c>
      <c r="D41" s="246">
        <v>0.4</v>
      </c>
      <c r="E41" s="245">
        <v>0.09</v>
      </c>
      <c r="F41" s="246">
        <v>1</v>
      </c>
      <c r="G41" s="248" t="s">
        <v>51</v>
      </c>
      <c r="H41" s="249" t="s">
        <v>61</v>
      </c>
      <c r="I41" s="245">
        <v>2024</v>
      </c>
      <c r="J41" s="250">
        <f t="shared" si="4"/>
        <v>360</v>
      </c>
      <c r="K41" s="250">
        <v>30</v>
      </c>
      <c r="L41" s="42">
        <f t="shared" si="0"/>
        <v>30</v>
      </c>
      <c r="M41" s="42">
        <f t="shared" si="1"/>
        <v>1</v>
      </c>
      <c r="N41" s="43">
        <f t="shared" si="2"/>
        <v>3.3333333333333333E-2</v>
      </c>
      <c r="O41" s="1">
        <f t="shared" si="3"/>
        <v>31</v>
      </c>
    </row>
    <row r="42" spans="1:15" ht="28.5" customHeight="1" x14ac:dyDescent="0.2">
      <c r="A42" s="409"/>
      <c r="B42" s="283" t="s">
        <v>65</v>
      </c>
      <c r="C42" s="284">
        <v>7</v>
      </c>
      <c r="D42" s="264">
        <v>0.4</v>
      </c>
      <c r="E42" s="263">
        <v>0.15</v>
      </c>
      <c r="F42" s="264">
        <v>1</v>
      </c>
      <c r="G42" s="265" t="s">
        <v>66</v>
      </c>
      <c r="H42" s="275" t="s">
        <v>61</v>
      </c>
      <c r="I42" s="263">
        <v>2000</v>
      </c>
      <c r="J42" s="266">
        <f t="shared" si="4"/>
        <v>360</v>
      </c>
      <c r="K42" s="266">
        <v>30</v>
      </c>
      <c r="L42" s="267">
        <f t="shared" si="0"/>
        <v>30</v>
      </c>
      <c r="M42" s="267">
        <f t="shared" si="1"/>
        <v>25</v>
      </c>
      <c r="N42" s="19">
        <f t="shared" si="2"/>
        <v>0.83333333333333337</v>
      </c>
      <c r="O42" s="1">
        <f t="shared" si="3"/>
        <v>32</v>
      </c>
    </row>
    <row r="43" spans="1:15" x14ac:dyDescent="0.2">
      <c r="A43" s="409"/>
      <c r="B43" s="60" t="s">
        <v>67</v>
      </c>
      <c r="C43" s="57">
        <v>3</v>
      </c>
      <c r="D43" s="51">
        <v>0.4</v>
      </c>
      <c r="E43" s="13">
        <v>0.05</v>
      </c>
      <c r="F43" s="51">
        <v>1</v>
      </c>
      <c r="G43" s="14" t="s">
        <v>68</v>
      </c>
      <c r="H43" s="23" t="s">
        <v>44</v>
      </c>
      <c r="I43" s="13">
        <v>1999</v>
      </c>
      <c r="J43" s="16">
        <f t="shared" si="4"/>
        <v>360</v>
      </c>
      <c r="K43" s="16">
        <v>30</v>
      </c>
      <c r="L43" s="17">
        <f t="shared" si="0"/>
        <v>30</v>
      </c>
      <c r="M43" s="17">
        <f t="shared" si="1"/>
        <v>26</v>
      </c>
      <c r="N43" s="19">
        <f t="shared" si="2"/>
        <v>0.8666666666666667</v>
      </c>
      <c r="O43" s="1">
        <f t="shared" si="3"/>
        <v>33</v>
      </c>
    </row>
    <row r="44" spans="1:15" x14ac:dyDescent="0.2">
      <c r="A44" s="409"/>
      <c r="B44" s="311" t="s">
        <v>69</v>
      </c>
      <c r="C44" s="57">
        <v>9</v>
      </c>
      <c r="D44" s="51">
        <v>0.4</v>
      </c>
      <c r="E44" s="13">
        <v>7.0000000000000007E-2</v>
      </c>
      <c r="F44" s="51">
        <v>1</v>
      </c>
      <c r="G44" s="14" t="s">
        <v>70</v>
      </c>
      <c r="H44" s="23" t="s">
        <v>44</v>
      </c>
      <c r="I44" s="13">
        <v>1999</v>
      </c>
      <c r="J44" s="16">
        <f t="shared" si="4"/>
        <v>360</v>
      </c>
      <c r="K44" s="16">
        <v>30</v>
      </c>
      <c r="L44" s="17">
        <f t="shared" si="0"/>
        <v>30</v>
      </c>
      <c r="M44" s="17">
        <f t="shared" si="1"/>
        <v>26</v>
      </c>
      <c r="N44" s="19">
        <f t="shared" si="2"/>
        <v>0.8666666666666667</v>
      </c>
      <c r="O44" s="1">
        <f t="shared" si="3"/>
        <v>34</v>
      </c>
    </row>
    <row r="45" spans="1:15" x14ac:dyDescent="0.2">
      <c r="A45" s="409"/>
      <c r="B45" s="311" t="s">
        <v>71</v>
      </c>
      <c r="C45" s="57">
        <v>3</v>
      </c>
      <c r="D45" s="51">
        <v>0.4</v>
      </c>
      <c r="E45" s="13">
        <v>0.05</v>
      </c>
      <c r="F45" s="51">
        <v>1</v>
      </c>
      <c r="G45" s="14" t="s">
        <v>72</v>
      </c>
      <c r="H45" s="23" t="s">
        <v>44</v>
      </c>
      <c r="I45" s="13">
        <v>1999</v>
      </c>
      <c r="J45" s="16">
        <f t="shared" si="4"/>
        <v>360</v>
      </c>
      <c r="K45" s="16">
        <v>30</v>
      </c>
      <c r="L45" s="17">
        <f t="shared" si="0"/>
        <v>30</v>
      </c>
      <c r="M45" s="17">
        <f t="shared" si="1"/>
        <v>26</v>
      </c>
      <c r="N45" s="19">
        <f t="shared" si="2"/>
        <v>0.8666666666666667</v>
      </c>
      <c r="O45" s="1">
        <f t="shared" si="3"/>
        <v>35</v>
      </c>
    </row>
    <row r="46" spans="1:15" x14ac:dyDescent="0.2">
      <c r="A46" s="409"/>
      <c r="B46" s="283" t="s">
        <v>73</v>
      </c>
      <c r="C46" s="284">
        <v>5</v>
      </c>
      <c r="D46" s="264">
        <v>0.4</v>
      </c>
      <c r="E46" s="263">
        <v>0.1</v>
      </c>
      <c r="F46" s="264">
        <v>1</v>
      </c>
      <c r="G46" s="265" t="s">
        <v>74</v>
      </c>
      <c r="H46" s="275" t="s">
        <v>61</v>
      </c>
      <c r="I46" s="263">
        <v>2000</v>
      </c>
      <c r="J46" s="266">
        <f t="shared" si="4"/>
        <v>360</v>
      </c>
      <c r="K46" s="266">
        <v>30</v>
      </c>
      <c r="L46" s="267">
        <f t="shared" si="0"/>
        <v>30</v>
      </c>
      <c r="M46" s="267">
        <f t="shared" si="1"/>
        <v>25</v>
      </c>
      <c r="N46" s="19">
        <f t="shared" si="2"/>
        <v>0.83333333333333337</v>
      </c>
      <c r="O46" s="1">
        <f t="shared" si="3"/>
        <v>36</v>
      </c>
    </row>
    <row r="47" spans="1:15" x14ac:dyDescent="0.2">
      <c r="A47" s="409"/>
      <c r="B47" s="235" t="s">
        <v>75</v>
      </c>
      <c r="C47" s="317">
        <v>6</v>
      </c>
      <c r="D47" s="229">
        <v>0.4</v>
      </c>
      <c r="E47" s="228">
        <v>0.2</v>
      </c>
      <c r="F47" s="229">
        <v>1</v>
      </c>
      <c r="G47" s="230" t="s">
        <v>697</v>
      </c>
      <c r="H47" s="231" t="s">
        <v>61</v>
      </c>
      <c r="I47" s="228">
        <v>2025</v>
      </c>
      <c r="J47" s="232">
        <f t="shared" si="4"/>
        <v>360</v>
      </c>
      <c r="K47" s="232">
        <v>30</v>
      </c>
      <c r="L47" s="18">
        <f t="shared" si="0"/>
        <v>30</v>
      </c>
      <c r="M47" s="18">
        <f t="shared" si="1"/>
        <v>0</v>
      </c>
      <c r="N47" s="345">
        <f t="shared" si="2"/>
        <v>0</v>
      </c>
      <c r="O47" s="1">
        <f t="shared" si="3"/>
        <v>37</v>
      </c>
    </row>
    <row r="48" spans="1:15" ht="13.5" thickBot="1" x14ac:dyDescent="0.25">
      <c r="A48" s="407"/>
      <c r="B48" s="285" t="s">
        <v>76</v>
      </c>
      <c r="C48" s="286">
        <v>8</v>
      </c>
      <c r="D48" s="270">
        <v>0.4</v>
      </c>
      <c r="E48" s="269">
        <v>0.28000000000000003</v>
      </c>
      <c r="F48" s="270">
        <v>1</v>
      </c>
      <c r="G48" s="271" t="s">
        <v>77</v>
      </c>
      <c r="H48" s="287" t="s">
        <v>61</v>
      </c>
      <c r="I48" s="269">
        <v>2010</v>
      </c>
      <c r="J48" s="272">
        <f t="shared" si="4"/>
        <v>360</v>
      </c>
      <c r="K48" s="272">
        <v>30</v>
      </c>
      <c r="L48" s="273">
        <f t="shared" si="0"/>
        <v>30</v>
      </c>
      <c r="M48" s="273">
        <f t="shared" si="1"/>
        <v>15</v>
      </c>
      <c r="N48" s="33">
        <f t="shared" si="2"/>
        <v>0.5</v>
      </c>
      <c r="O48" s="1">
        <f t="shared" si="3"/>
        <v>38</v>
      </c>
    </row>
    <row r="49" spans="1:15" x14ac:dyDescent="0.2">
      <c r="A49" s="406">
        <v>6</v>
      </c>
      <c r="B49" s="288" t="s">
        <v>78</v>
      </c>
      <c r="C49" s="277">
        <v>13</v>
      </c>
      <c r="D49" s="277">
        <v>0.4</v>
      </c>
      <c r="E49" s="277">
        <v>0.1</v>
      </c>
      <c r="F49" s="277">
        <v>1</v>
      </c>
      <c r="G49" s="279" t="s">
        <v>79</v>
      </c>
      <c r="H49" s="280" t="s">
        <v>44</v>
      </c>
      <c r="I49" s="278">
        <v>2011</v>
      </c>
      <c r="J49" s="281">
        <f t="shared" si="4"/>
        <v>360</v>
      </c>
      <c r="K49" s="281">
        <v>30</v>
      </c>
      <c r="L49" s="282">
        <f t="shared" si="0"/>
        <v>30</v>
      </c>
      <c r="M49" s="282">
        <f t="shared" si="1"/>
        <v>14</v>
      </c>
      <c r="N49" s="43">
        <f t="shared" si="2"/>
        <v>0.46666666666666667</v>
      </c>
      <c r="O49" s="1">
        <f t="shared" si="3"/>
        <v>39</v>
      </c>
    </row>
    <row r="50" spans="1:15" x14ac:dyDescent="0.2">
      <c r="A50" s="409"/>
      <c r="B50" s="10" t="s">
        <v>80</v>
      </c>
      <c r="C50" s="51">
        <v>7</v>
      </c>
      <c r="D50" s="12">
        <v>0.4</v>
      </c>
      <c r="E50" s="51">
        <v>0.03</v>
      </c>
      <c r="F50" s="51">
        <v>1</v>
      </c>
      <c r="G50" s="14" t="s">
        <v>81</v>
      </c>
      <c r="H50" s="15" t="s">
        <v>44</v>
      </c>
      <c r="I50" s="11">
        <v>1971</v>
      </c>
      <c r="J50" s="16">
        <f t="shared" si="4"/>
        <v>360</v>
      </c>
      <c r="K50" s="16">
        <v>30</v>
      </c>
      <c r="L50" s="17">
        <f t="shared" si="0"/>
        <v>30</v>
      </c>
      <c r="M50" s="17">
        <f t="shared" si="1"/>
        <v>54</v>
      </c>
      <c r="N50" s="19">
        <f t="shared" si="2"/>
        <v>1.8</v>
      </c>
      <c r="O50" s="1">
        <f t="shared" si="3"/>
        <v>40</v>
      </c>
    </row>
    <row r="51" spans="1:15" x14ac:dyDescent="0.2">
      <c r="A51" s="409"/>
      <c r="B51" s="262" t="s">
        <v>82</v>
      </c>
      <c r="C51" s="264">
        <v>9</v>
      </c>
      <c r="D51" s="264">
        <v>0.4</v>
      </c>
      <c r="E51" s="264">
        <v>6.5000000000000002E-2</v>
      </c>
      <c r="F51" s="264">
        <v>1</v>
      </c>
      <c r="G51" s="265" t="s">
        <v>83</v>
      </c>
      <c r="H51" s="275" t="s">
        <v>52</v>
      </c>
      <c r="I51" s="263">
        <v>2006</v>
      </c>
      <c r="J51" s="266">
        <f t="shared" si="4"/>
        <v>360</v>
      </c>
      <c r="K51" s="266">
        <v>30</v>
      </c>
      <c r="L51" s="267">
        <f t="shared" si="0"/>
        <v>30</v>
      </c>
      <c r="M51" s="267">
        <f t="shared" si="1"/>
        <v>19</v>
      </c>
      <c r="N51" s="19">
        <f t="shared" si="2"/>
        <v>0.6333333333333333</v>
      </c>
      <c r="O51" s="1">
        <f t="shared" si="3"/>
        <v>41</v>
      </c>
    </row>
    <row r="52" spans="1:15" x14ac:dyDescent="0.2">
      <c r="A52" s="409"/>
      <c r="B52" s="262" t="s">
        <v>84</v>
      </c>
      <c r="C52" s="264">
        <v>11</v>
      </c>
      <c r="D52" s="264">
        <v>0.4</v>
      </c>
      <c r="E52" s="264">
        <v>0.11</v>
      </c>
      <c r="F52" s="264">
        <v>1</v>
      </c>
      <c r="G52" s="265" t="s">
        <v>83</v>
      </c>
      <c r="H52" s="275" t="s">
        <v>52</v>
      </c>
      <c r="I52" s="263">
        <v>2008</v>
      </c>
      <c r="J52" s="266">
        <f t="shared" si="4"/>
        <v>360</v>
      </c>
      <c r="K52" s="266">
        <v>30</v>
      </c>
      <c r="L52" s="267">
        <f t="shared" si="0"/>
        <v>30</v>
      </c>
      <c r="M52" s="267">
        <f t="shared" si="1"/>
        <v>17</v>
      </c>
      <c r="N52" s="19">
        <f t="shared" si="2"/>
        <v>0.56666666666666665</v>
      </c>
      <c r="O52" s="1">
        <f t="shared" si="3"/>
        <v>42</v>
      </c>
    </row>
    <row r="53" spans="1:15" x14ac:dyDescent="0.2">
      <c r="A53" s="409"/>
      <c r="B53" s="235" t="s">
        <v>85</v>
      </c>
      <c r="C53" s="229">
        <v>10</v>
      </c>
      <c r="D53" s="229">
        <v>0.4</v>
      </c>
      <c r="E53" s="236">
        <v>4.1000000000000002E-2</v>
      </c>
      <c r="F53" s="415">
        <v>1</v>
      </c>
      <c r="G53" s="230" t="s">
        <v>86</v>
      </c>
      <c r="H53" s="231" t="s">
        <v>34</v>
      </c>
      <c r="I53" s="228">
        <v>2023</v>
      </c>
      <c r="J53" s="232">
        <f t="shared" si="4"/>
        <v>360</v>
      </c>
      <c r="K53" s="232">
        <v>30</v>
      </c>
      <c r="L53" s="18">
        <f t="shared" si="0"/>
        <v>30</v>
      </c>
      <c r="M53" s="18">
        <f t="shared" si="1"/>
        <v>2</v>
      </c>
      <c r="N53" s="19">
        <f t="shared" si="2"/>
        <v>6.6666666666666666E-2</v>
      </c>
      <c r="O53" s="1">
        <f t="shared" si="3"/>
        <v>43</v>
      </c>
    </row>
    <row r="54" spans="1:15" ht="13.5" thickBot="1" x14ac:dyDescent="0.25">
      <c r="A54" s="407"/>
      <c r="B54" s="237" t="s">
        <v>85</v>
      </c>
      <c r="C54" s="238">
        <v>10</v>
      </c>
      <c r="D54" s="238">
        <v>0.4</v>
      </c>
      <c r="E54" s="239">
        <v>5.6000000000000001E-2</v>
      </c>
      <c r="F54" s="416"/>
      <c r="G54" s="240" t="s">
        <v>87</v>
      </c>
      <c r="H54" s="241" t="s">
        <v>34</v>
      </c>
      <c r="I54" s="242">
        <v>2023</v>
      </c>
      <c r="J54" s="243">
        <f t="shared" si="4"/>
        <v>360</v>
      </c>
      <c r="K54" s="243">
        <v>30</v>
      </c>
      <c r="L54" s="48">
        <f t="shared" si="0"/>
        <v>30</v>
      </c>
      <c r="M54" s="48">
        <f t="shared" si="1"/>
        <v>2</v>
      </c>
      <c r="N54" s="33">
        <f t="shared" si="2"/>
        <v>6.6666666666666666E-2</v>
      </c>
      <c r="O54" s="1">
        <f t="shared" si="3"/>
        <v>44</v>
      </c>
    </row>
    <row r="55" spans="1:15" ht="12.75" customHeight="1" x14ac:dyDescent="0.2">
      <c r="A55" s="406">
        <v>7</v>
      </c>
      <c r="B55" s="34" t="s">
        <v>88</v>
      </c>
      <c r="C55" s="49">
        <v>5</v>
      </c>
      <c r="D55" s="36">
        <v>0.4</v>
      </c>
      <c r="E55" s="49">
        <v>0.1</v>
      </c>
      <c r="F55" s="49">
        <v>1</v>
      </c>
      <c r="G55" s="38" t="s">
        <v>89</v>
      </c>
      <c r="H55" s="39" t="s">
        <v>44</v>
      </c>
      <c r="I55" s="37">
        <v>1971</v>
      </c>
      <c r="J55" s="40">
        <f t="shared" si="4"/>
        <v>360</v>
      </c>
      <c r="K55" s="40">
        <v>30</v>
      </c>
      <c r="L55" s="41">
        <f t="shared" si="0"/>
        <v>30</v>
      </c>
      <c r="M55" s="41">
        <f t="shared" si="1"/>
        <v>54</v>
      </c>
      <c r="N55" s="43">
        <f t="shared" si="2"/>
        <v>1.8</v>
      </c>
      <c r="O55" s="1">
        <f t="shared" si="3"/>
        <v>45</v>
      </c>
    </row>
    <row r="56" spans="1:15" x14ac:dyDescent="0.2">
      <c r="A56" s="409"/>
      <c r="B56" s="10" t="s">
        <v>90</v>
      </c>
      <c r="C56" s="51">
        <v>11</v>
      </c>
      <c r="D56" s="12">
        <v>0.4</v>
      </c>
      <c r="E56" s="51">
        <v>0.08</v>
      </c>
      <c r="F56" s="51">
        <v>1</v>
      </c>
      <c r="G56" s="14" t="s">
        <v>91</v>
      </c>
      <c r="H56" s="15" t="s">
        <v>44</v>
      </c>
      <c r="I56" s="13">
        <v>1971</v>
      </c>
      <c r="J56" s="16">
        <f t="shared" si="4"/>
        <v>360</v>
      </c>
      <c r="K56" s="16">
        <v>30</v>
      </c>
      <c r="L56" s="17">
        <f t="shared" si="0"/>
        <v>30</v>
      </c>
      <c r="M56" s="17">
        <f t="shared" si="1"/>
        <v>54</v>
      </c>
      <c r="N56" s="19">
        <f t="shared" si="2"/>
        <v>1.8</v>
      </c>
      <c r="O56" s="1">
        <f t="shared" si="3"/>
        <v>46</v>
      </c>
    </row>
    <row r="57" spans="1:15" x14ac:dyDescent="0.2">
      <c r="A57" s="409"/>
      <c r="B57" s="10" t="s">
        <v>92</v>
      </c>
      <c r="C57" s="51">
        <v>11</v>
      </c>
      <c r="D57" s="12">
        <v>0.4</v>
      </c>
      <c r="E57" s="51">
        <v>0.06</v>
      </c>
      <c r="F57" s="51">
        <v>1</v>
      </c>
      <c r="G57" s="14" t="s">
        <v>91</v>
      </c>
      <c r="H57" s="15" t="s">
        <v>44</v>
      </c>
      <c r="I57" s="55">
        <v>1971</v>
      </c>
      <c r="J57" s="16">
        <f t="shared" si="4"/>
        <v>360</v>
      </c>
      <c r="K57" s="16">
        <v>30</v>
      </c>
      <c r="L57" s="17">
        <f t="shared" si="0"/>
        <v>30</v>
      </c>
      <c r="M57" s="17">
        <f t="shared" si="1"/>
        <v>54</v>
      </c>
      <c r="N57" s="19">
        <f t="shared" si="2"/>
        <v>1.8</v>
      </c>
      <c r="O57" s="1">
        <f t="shared" si="3"/>
        <v>47</v>
      </c>
    </row>
    <row r="58" spans="1:15" x14ac:dyDescent="0.2">
      <c r="A58" s="409"/>
      <c r="B58" s="262" t="s">
        <v>93</v>
      </c>
      <c r="C58" s="264">
        <v>13</v>
      </c>
      <c r="D58" s="264">
        <v>0.4</v>
      </c>
      <c r="E58" s="264">
        <v>0.14000000000000001</v>
      </c>
      <c r="F58" s="264">
        <v>1</v>
      </c>
      <c r="G58" s="265" t="s">
        <v>89</v>
      </c>
      <c r="H58" s="275" t="s">
        <v>52</v>
      </c>
      <c r="I58" s="284">
        <v>2004</v>
      </c>
      <c r="J58" s="266">
        <f t="shared" si="4"/>
        <v>360</v>
      </c>
      <c r="K58" s="266">
        <v>30</v>
      </c>
      <c r="L58" s="267">
        <f t="shared" si="0"/>
        <v>30</v>
      </c>
      <c r="M58" s="267">
        <f t="shared" si="1"/>
        <v>21</v>
      </c>
      <c r="N58" s="19">
        <f t="shared" si="2"/>
        <v>0.7</v>
      </c>
      <c r="O58" s="1">
        <f t="shared" si="3"/>
        <v>48</v>
      </c>
    </row>
    <row r="59" spans="1:15" x14ac:dyDescent="0.2">
      <c r="A59" s="410"/>
      <c r="B59" s="262" t="s">
        <v>94</v>
      </c>
      <c r="C59" s="264">
        <v>9</v>
      </c>
      <c r="D59" s="264">
        <v>0.4</v>
      </c>
      <c r="E59" s="264">
        <v>0.2</v>
      </c>
      <c r="F59" s="264">
        <v>1</v>
      </c>
      <c r="G59" s="265" t="s">
        <v>95</v>
      </c>
      <c r="H59" s="275" t="s">
        <v>52</v>
      </c>
      <c r="I59" s="263">
        <v>2004</v>
      </c>
      <c r="J59" s="266">
        <f t="shared" si="4"/>
        <v>360</v>
      </c>
      <c r="K59" s="266">
        <v>30</v>
      </c>
      <c r="L59" s="267">
        <f>J59/12</f>
        <v>30</v>
      </c>
      <c r="M59" s="267">
        <f>O$3-I59</f>
        <v>21</v>
      </c>
      <c r="N59" s="19">
        <f>M59/K59</f>
        <v>0.7</v>
      </c>
      <c r="O59" s="1">
        <f t="shared" si="3"/>
        <v>49</v>
      </c>
    </row>
    <row r="60" spans="1:15" ht="13.5" thickBot="1" x14ac:dyDescent="0.25">
      <c r="A60" s="407"/>
      <c r="B60" s="268" t="s">
        <v>94</v>
      </c>
      <c r="C60" s="270">
        <v>9</v>
      </c>
      <c r="D60" s="270">
        <v>0.4</v>
      </c>
      <c r="E60" s="270">
        <v>0.2</v>
      </c>
      <c r="F60" s="270">
        <v>1</v>
      </c>
      <c r="G60" s="271" t="s">
        <v>95</v>
      </c>
      <c r="H60" s="287" t="s">
        <v>52</v>
      </c>
      <c r="I60" s="269">
        <v>2004</v>
      </c>
      <c r="J60" s="272">
        <f t="shared" si="4"/>
        <v>360</v>
      </c>
      <c r="K60" s="272">
        <v>30</v>
      </c>
      <c r="L60" s="273">
        <f t="shared" si="0"/>
        <v>30</v>
      </c>
      <c r="M60" s="273">
        <f t="shared" si="1"/>
        <v>21</v>
      </c>
      <c r="N60" s="33">
        <f t="shared" si="2"/>
        <v>0.7</v>
      </c>
      <c r="O60" s="1">
        <f t="shared" si="3"/>
        <v>50</v>
      </c>
    </row>
    <row r="61" spans="1:15" x14ac:dyDescent="0.2">
      <c r="A61" s="406">
        <v>8</v>
      </c>
      <c r="B61" s="288" t="s">
        <v>96</v>
      </c>
      <c r="C61" s="278">
        <v>2</v>
      </c>
      <c r="D61" s="277">
        <v>0.4</v>
      </c>
      <c r="E61" s="278">
        <v>0.04</v>
      </c>
      <c r="F61" s="277">
        <v>1</v>
      </c>
      <c r="G61" s="279" t="s">
        <v>97</v>
      </c>
      <c r="H61" s="280" t="s">
        <v>44</v>
      </c>
      <c r="I61" s="278">
        <v>2000</v>
      </c>
      <c r="J61" s="281">
        <f t="shared" si="4"/>
        <v>360</v>
      </c>
      <c r="K61" s="281">
        <v>30</v>
      </c>
      <c r="L61" s="282">
        <f t="shared" si="0"/>
        <v>30</v>
      </c>
      <c r="M61" s="282">
        <f t="shared" si="1"/>
        <v>25</v>
      </c>
      <c r="N61" s="43">
        <f t="shared" si="2"/>
        <v>0.83333333333333337</v>
      </c>
      <c r="O61" s="1">
        <f t="shared" si="3"/>
        <v>51</v>
      </c>
    </row>
    <row r="62" spans="1:15" x14ac:dyDescent="0.2">
      <c r="A62" s="409"/>
      <c r="B62" s="262" t="s">
        <v>98</v>
      </c>
      <c r="C62" s="263">
        <v>2</v>
      </c>
      <c r="D62" s="264">
        <v>0.4</v>
      </c>
      <c r="E62" s="263">
        <v>0.04</v>
      </c>
      <c r="F62" s="264">
        <v>1</v>
      </c>
      <c r="G62" s="265" t="s">
        <v>99</v>
      </c>
      <c r="H62" s="275" t="s">
        <v>44</v>
      </c>
      <c r="I62" s="263">
        <v>2000</v>
      </c>
      <c r="J62" s="266">
        <f t="shared" si="4"/>
        <v>360</v>
      </c>
      <c r="K62" s="266">
        <v>30</v>
      </c>
      <c r="L62" s="267">
        <f t="shared" si="0"/>
        <v>30</v>
      </c>
      <c r="M62" s="267">
        <f t="shared" si="1"/>
        <v>25</v>
      </c>
      <c r="N62" s="19">
        <f t="shared" si="2"/>
        <v>0.83333333333333337</v>
      </c>
      <c r="O62" s="1">
        <f t="shared" si="3"/>
        <v>52</v>
      </c>
    </row>
    <row r="63" spans="1:15" x14ac:dyDescent="0.2">
      <c r="A63" s="409"/>
      <c r="B63" s="10" t="s">
        <v>100</v>
      </c>
      <c r="C63" s="13">
        <v>2</v>
      </c>
      <c r="D63" s="12">
        <v>0.4</v>
      </c>
      <c r="E63" s="13">
        <v>0.06</v>
      </c>
      <c r="F63" s="51">
        <v>1</v>
      </c>
      <c r="G63" s="14" t="s">
        <v>101</v>
      </c>
      <c r="H63" s="15" t="s">
        <v>44</v>
      </c>
      <c r="I63" s="11">
        <v>1971</v>
      </c>
      <c r="J63" s="16">
        <f t="shared" si="4"/>
        <v>360</v>
      </c>
      <c r="K63" s="16">
        <v>30</v>
      </c>
      <c r="L63" s="17">
        <f t="shared" si="0"/>
        <v>30</v>
      </c>
      <c r="M63" s="17">
        <f t="shared" si="1"/>
        <v>54</v>
      </c>
      <c r="N63" s="19">
        <f t="shared" si="2"/>
        <v>1.8</v>
      </c>
      <c r="O63" s="1">
        <f t="shared" si="3"/>
        <v>53</v>
      </c>
    </row>
    <row r="64" spans="1:15" x14ac:dyDescent="0.2">
      <c r="A64" s="409"/>
      <c r="B64" s="10" t="s">
        <v>102</v>
      </c>
      <c r="C64" s="13">
        <v>7</v>
      </c>
      <c r="D64" s="12">
        <v>0.4</v>
      </c>
      <c r="E64" s="13">
        <v>0.08</v>
      </c>
      <c r="F64" s="51">
        <v>1</v>
      </c>
      <c r="G64" s="14" t="s">
        <v>103</v>
      </c>
      <c r="H64" s="15" t="s">
        <v>52</v>
      </c>
      <c r="I64" s="11">
        <v>1994</v>
      </c>
      <c r="J64" s="16">
        <f t="shared" si="4"/>
        <v>360</v>
      </c>
      <c r="K64" s="16">
        <v>30</v>
      </c>
      <c r="L64" s="17">
        <f t="shared" si="0"/>
        <v>30</v>
      </c>
      <c r="M64" s="17">
        <f t="shared" si="1"/>
        <v>31</v>
      </c>
      <c r="N64" s="19">
        <f t="shared" si="2"/>
        <v>1.0333333333333334</v>
      </c>
      <c r="O64" s="1">
        <f t="shared" si="3"/>
        <v>54</v>
      </c>
    </row>
    <row r="65" spans="1:15" x14ac:dyDescent="0.2">
      <c r="A65" s="409"/>
      <c r="B65" s="10" t="s">
        <v>104</v>
      </c>
      <c r="C65" s="13">
        <v>3</v>
      </c>
      <c r="D65" s="12">
        <v>0.4</v>
      </c>
      <c r="E65" s="13">
        <v>0.14000000000000001</v>
      </c>
      <c r="F65" s="51">
        <v>1</v>
      </c>
      <c r="G65" s="14" t="s">
        <v>51</v>
      </c>
      <c r="H65" s="15" t="s">
        <v>44</v>
      </c>
      <c r="I65" s="11">
        <v>1995</v>
      </c>
      <c r="J65" s="16">
        <f t="shared" si="4"/>
        <v>360</v>
      </c>
      <c r="K65" s="16">
        <v>30</v>
      </c>
      <c r="L65" s="17">
        <f t="shared" si="0"/>
        <v>30</v>
      </c>
      <c r="M65" s="17">
        <f t="shared" si="1"/>
        <v>30</v>
      </c>
      <c r="N65" s="19">
        <f t="shared" si="2"/>
        <v>1</v>
      </c>
      <c r="O65" s="1">
        <f t="shared" si="3"/>
        <v>55</v>
      </c>
    </row>
    <row r="66" spans="1:15" x14ac:dyDescent="0.2">
      <c r="A66" s="409"/>
      <c r="B66" s="227" t="s">
        <v>105</v>
      </c>
      <c r="C66" s="228">
        <v>7</v>
      </c>
      <c r="D66" s="229">
        <v>0.4</v>
      </c>
      <c r="E66" s="228">
        <v>0.11</v>
      </c>
      <c r="F66" s="229">
        <v>1</v>
      </c>
      <c r="G66" s="230" t="s">
        <v>698</v>
      </c>
      <c r="H66" s="231" t="s">
        <v>52</v>
      </c>
      <c r="I66" s="228">
        <v>2025</v>
      </c>
      <c r="J66" s="232">
        <f t="shared" si="4"/>
        <v>360</v>
      </c>
      <c r="K66" s="232">
        <v>30</v>
      </c>
      <c r="L66" s="18">
        <f t="shared" si="0"/>
        <v>30</v>
      </c>
      <c r="M66" s="18">
        <f t="shared" si="1"/>
        <v>0</v>
      </c>
      <c r="N66" s="345">
        <f t="shared" si="2"/>
        <v>0</v>
      </c>
      <c r="O66" s="1">
        <f t="shared" si="3"/>
        <v>56</v>
      </c>
    </row>
    <row r="67" spans="1:15" ht="13.5" thickBot="1" x14ac:dyDescent="0.25">
      <c r="A67" s="407"/>
      <c r="B67" s="285" t="s">
        <v>106</v>
      </c>
      <c r="C67" s="269">
        <v>6</v>
      </c>
      <c r="D67" s="270">
        <v>0.4</v>
      </c>
      <c r="E67" s="269">
        <v>0.11</v>
      </c>
      <c r="F67" s="270">
        <v>1</v>
      </c>
      <c r="G67" s="271" t="s">
        <v>74</v>
      </c>
      <c r="H67" s="287" t="s">
        <v>52</v>
      </c>
      <c r="I67" s="269">
        <v>2002</v>
      </c>
      <c r="J67" s="272">
        <f t="shared" si="4"/>
        <v>360</v>
      </c>
      <c r="K67" s="272">
        <v>30</v>
      </c>
      <c r="L67" s="273">
        <f t="shared" si="0"/>
        <v>30</v>
      </c>
      <c r="M67" s="273">
        <f t="shared" si="1"/>
        <v>23</v>
      </c>
      <c r="N67" s="33">
        <f t="shared" si="2"/>
        <v>0.76666666666666672</v>
      </c>
      <c r="O67" s="1">
        <f t="shared" si="3"/>
        <v>57</v>
      </c>
    </row>
    <row r="68" spans="1:15" ht="39.75" customHeight="1" x14ac:dyDescent="0.2">
      <c r="A68" s="406">
        <v>9</v>
      </c>
      <c r="B68" s="306" t="s">
        <v>107</v>
      </c>
      <c r="C68" s="318">
        <v>13</v>
      </c>
      <c r="D68" s="246">
        <v>0.4</v>
      </c>
      <c r="E68" s="245">
        <v>0.09</v>
      </c>
      <c r="F68" s="245">
        <v>1</v>
      </c>
      <c r="G68" s="234" t="s">
        <v>685</v>
      </c>
      <c r="H68" s="249" t="s">
        <v>44</v>
      </c>
      <c r="I68" s="245">
        <v>2024</v>
      </c>
      <c r="J68" s="250">
        <f t="shared" si="4"/>
        <v>360</v>
      </c>
      <c r="K68" s="250">
        <v>30</v>
      </c>
      <c r="L68" s="42">
        <f t="shared" si="0"/>
        <v>30</v>
      </c>
      <c r="M68" s="42">
        <f t="shared" si="1"/>
        <v>1</v>
      </c>
      <c r="N68" s="43">
        <f t="shared" si="2"/>
        <v>3.3333333333333333E-2</v>
      </c>
      <c r="O68" s="1">
        <f t="shared" si="3"/>
        <v>58</v>
      </c>
    </row>
    <row r="69" spans="1:15" ht="21" customHeight="1" x14ac:dyDescent="0.2">
      <c r="A69" s="409"/>
      <c r="B69" s="235" t="s">
        <v>108</v>
      </c>
      <c r="C69" s="317">
        <v>5</v>
      </c>
      <c r="D69" s="229">
        <v>0.4</v>
      </c>
      <c r="E69" s="228">
        <v>2.5000000000000001E-2</v>
      </c>
      <c r="F69" s="228">
        <v>1</v>
      </c>
      <c r="G69" s="234" t="s">
        <v>685</v>
      </c>
      <c r="H69" s="231" t="s">
        <v>44</v>
      </c>
      <c r="I69" s="228">
        <v>2024</v>
      </c>
      <c r="J69" s="232">
        <f t="shared" si="4"/>
        <v>360</v>
      </c>
      <c r="K69" s="232">
        <v>30</v>
      </c>
      <c r="L69" s="18">
        <f t="shared" si="0"/>
        <v>30</v>
      </c>
      <c r="M69" s="18">
        <f t="shared" si="1"/>
        <v>1</v>
      </c>
      <c r="N69" s="19">
        <f t="shared" si="2"/>
        <v>3.3333333333333333E-2</v>
      </c>
      <c r="O69" s="1">
        <f t="shared" si="3"/>
        <v>59</v>
      </c>
    </row>
    <row r="70" spans="1:15" ht="27" customHeight="1" x14ac:dyDescent="0.2">
      <c r="A70" s="409"/>
      <c r="B70" s="52" t="s">
        <v>109</v>
      </c>
      <c r="C70" s="57">
        <v>2</v>
      </c>
      <c r="D70" s="12">
        <v>0.4</v>
      </c>
      <c r="E70" s="13">
        <v>9.5000000000000001E-2</v>
      </c>
      <c r="F70" s="13">
        <v>1</v>
      </c>
      <c r="G70" s="24" t="s">
        <v>110</v>
      </c>
      <c r="H70" s="15" t="s">
        <v>44</v>
      </c>
      <c r="I70" s="11">
        <v>1997</v>
      </c>
      <c r="J70" s="16">
        <f t="shared" si="4"/>
        <v>360</v>
      </c>
      <c r="K70" s="16">
        <v>30</v>
      </c>
      <c r="L70" s="17">
        <f t="shared" si="0"/>
        <v>30</v>
      </c>
      <c r="M70" s="17">
        <f t="shared" si="1"/>
        <v>28</v>
      </c>
      <c r="N70" s="19">
        <f t="shared" si="2"/>
        <v>0.93333333333333335</v>
      </c>
      <c r="O70" s="1">
        <f t="shared" si="3"/>
        <v>60</v>
      </c>
    </row>
    <row r="71" spans="1:15" ht="21.75" customHeight="1" x14ac:dyDescent="0.2">
      <c r="A71" s="409"/>
      <c r="B71" s="52" t="s">
        <v>111</v>
      </c>
      <c r="C71" s="13">
        <v>9</v>
      </c>
      <c r="D71" s="12">
        <v>0.4</v>
      </c>
      <c r="E71" s="13">
        <v>0.1</v>
      </c>
      <c r="F71" s="13">
        <v>1</v>
      </c>
      <c r="G71" s="24" t="s">
        <v>112</v>
      </c>
      <c r="H71" s="15" t="s">
        <v>52</v>
      </c>
      <c r="I71" s="11">
        <v>1997</v>
      </c>
      <c r="J71" s="16">
        <f t="shared" si="4"/>
        <v>360</v>
      </c>
      <c r="K71" s="16">
        <v>30</v>
      </c>
      <c r="L71" s="17">
        <f t="shared" si="0"/>
        <v>30</v>
      </c>
      <c r="M71" s="17">
        <f t="shared" si="1"/>
        <v>28</v>
      </c>
      <c r="N71" s="19">
        <f t="shared" si="2"/>
        <v>0.93333333333333335</v>
      </c>
      <c r="O71" s="1">
        <f t="shared" si="3"/>
        <v>61</v>
      </c>
    </row>
    <row r="72" spans="1:15" ht="21.75" customHeight="1" x14ac:dyDescent="0.2">
      <c r="A72" s="409"/>
      <c r="B72" s="52" t="s">
        <v>111</v>
      </c>
      <c r="C72" s="13">
        <v>9</v>
      </c>
      <c r="D72" s="12">
        <v>0.4</v>
      </c>
      <c r="E72" s="13">
        <v>0.1</v>
      </c>
      <c r="F72" s="13">
        <v>1</v>
      </c>
      <c r="G72" s="24" t="s">
        <v>112</v>
      </c>
      <c r="H72" s="15" t="s">
        <v>52</v>
      </c>
      <c r="I72" s="11">
        <v>1997</v>
      </c>
      <c r="J72" s="16">
        <f t="shared" si="4"/>
        <v>360</v>
      </c>
      <c r="K72" s="16">
        <v>30</v>
      </c>
      <c r="L72" s="17">
        <f>J72/12</f>
        <v>30</v>
      </c>
      <c r="M72" s="17">
        <f>O$3-I72</f>
        <v>28</v>
      </c>
      <c r="N72" s="19">
        <f>M72/K72</f>
        <v>0.93333333333333335</v>
      </c>
      <c r="O72" s="1">
        <f t="shared" si="3"/>
        <v>62</v>
      </c>
    </row>
    <row r="73" spans="1:15" ht="33.75" customHeight="1" x14ac:dyDescent="0.2">
      <c r="A73" s="409"/>
      <c r="B73" s="227" t="s">
        <v>113</v>
      </c>
      <c r="C73" s="228">
        <v>11</v>
      </c>
      <c r="D73" s="229">
        <v>0.4</v>
      </c>
      <c r="E73" s="228">
        <v>0.125</v>
      </c>
      <c r="F73" s="228">
        <v>1</v>
      </c>
      <c r="G73" s="234" t="s">
        <v>51</v>
      </c>
      <c r="H73" s="231" t="s">
        <v>44</v>
      </c>
      <c r="I73" s="228">
        <v>2024</v>
      </c>
      <c r="J73" s="232">
        <f t="shared" si="4"/>
        <v>360</v>
      </c>
      <c r="K73" s="232">
        <v>30</v>
      </c>
      <c r="L73" s="18">
        <f t="shared" si="0"/>
        <v>30</v>
      </c>
      <c r="M73" s="18">
        <f t="shared" si="1"/>
        <v>1</v>
      </c>
      <c r="N73" s="19">
        <f t="shared" si="2"/>
        <v>3.3333333333333333E-2</v>
      </c>
      <c r="O73" s="1">
        <f t="shared" si="3"/>
        <v>63</v>
      </c>
    </row>
    <row r="74" spans="1:15" ht="25.5" x14ac:dyDescent="0.2">
      <c r="A74" s="409"/>
      <c r="B74" s="10" t="s">
        <v>114</v>
      </c>
      <c r="C74" s="13" t="s">
        <v>32</v>
      </c>
      <c r="D74" s="12">
        <v>0.4</v>
      </c>
      <c r="E74" s="13">
        <v>0.3</v>
      </c>
      <c r="F74" s="13">
        <v>1</v>
      </c>
      <c r="G74" s="14" t="s">
        <v>115</v>
      </c>
      <c r="H74" s="15" t="s">
        <v>116</v>
      </c>
      <c r="I74" s="11">
        <v>1997</v>
      </c>
      <c r="J74" s="16">
        <f t="shared" si="4"/>
        <v>360</v>
      </c>
      <c r="K74" s="16">
        <v>30</v>
      </c>
      <c r="L74" s="17">
        <f t="shared" si="0"/>
        <v>30</v>
      </c>
      <c r="M74" s="17">
        <f t="shared" si="1"/>
        <v>28</v>
      </c>
      <c r="N74" s="19">
        <f t="shared" si="2"/>
        <v>0.93333333333333335</v>
      </c>
      <c r="O74" s="1">
        <f t="shared" si="3"/>
        <v>64</v>
      </c>
    </row>
    <row r="75" spans="1:15" ht="25.5" x14ac:dyDescent="0.2">
      <c r="A75" s="409"/>
      <c r="B75" s="10" t="s">
        <v>114</v>
      </c>
      <c r="C75" s="13" t="s">
        <v>32</v>
      </c>
      <c r="D75" s="12">
        <v>0.4</v>
      </c>
      <c r="E75" s="13">
        <v>0.3</v>
      </c>
      <c r="F75" s="13">
        <v>1</v>
      </c>
      <c r="G75" s="14" t="s">
        <v>115</v>
      </c>
      <c r="H75" s="15" t="s">
        <v>116</v>
      </c>
      <c r="I75" s="11">
        <v>1997</v>
      </c>
      <c r="J75" s="16">
        <f t="shared" si="4"/>
        <v>360</v>
      </c>
      <c r="K75" s="16">
        <v>30</v>
      </c>
      <c r="L75" s="17">
        <f>J75/12</f>
        <v>30</v>
      </c>
      <c r="M75" s="17">
        <f>O$3-I75</f>
        <v>28</v>
      </c>
      <c r="N75" s="19">
        <f>M75/K75</f>
        <v>0.93333333333333335</v>
      </c>
      <c r="O75" s="1">
        <f t="shared" si="3"/>
        <v>65</v>
      </c>
    </row>
    <row r="76" spans="1:15" ht="26.25" customHeight="1" x14ac:dyDescent="0.2">
      <c r="A76" s="409"/>
      <c r="B76" s="10" t="s">
        <v>117</v>
      </c>
      <c r="C76" s="13">
        <v>13</v>
      </c>
      <c r="D76" s="12">
        <v>0.4</v>
      </c>
      <c r="E76" s="13">
        <v>7.4999999999999997E-2</v>
      </c>
      <c r="F76" s="13">
        <v>1</v>
      </c>
      <c r="G76" s="24" t="s">
        <v>118</v>
      </c>
      <c r="H76" s="15" t="s">
        <v>44</v>
      </c>
      <c r="I76" s="11">
        <v>1997</v>
      </c>
      <c r="J76" s="16">
        <f t="shared" si="4"/>
        <v>360</v>
      </c>
      <c r="K76" s="16">
        <v>30</v>
      </c>
      <c r="L76" s="17">
        <f t="shared" ref="L76:L167" si="5">J76/12</f>
        <v>30</v>
      </c>
      <c r="M76" s="17">
        <f t="shared" ref="M76:M167" si="6">O$3-I76</f>
        <v>28</v>
      </c>
      <c r="N76" s="19">
        <f t="shared" ref="N76:N167" si="7">M76/K76</f>
        <v>0.93333333333333335</v>
      </c>
      <c r="O76" s="1">
        <f t="shared" si="3"/>
        <v>66</v>
      </c>
    </row>
    <row r="77" spans="1:15" ht="26.25" customHeight="1" x14ac:dyDescent="0.2">
      <c r="A77" s="410"/>
      <c r="B77" s="52" t="s">
        <v>119</v>
      </c>
      <c r="C77" s="13">
        <v>9</v>
      </c>
      <c r="D77" s="12">
        <v>0.4</v>
      </c>
      <c r="E77" s="13">
        <f>0.07/2</f>
        <v>3.5000000000000003E-2</v>
      </c>
      <c r="F77" s="13">
        <v>1</v>
      </c>
      <c r="G77" s="14" t="s">
        <v>43</v>
      </c>
      <c r="H77" s="15" t="s">
        <v>44</v>
      </c>
      <c r="I77" s="11">
        <v>1997</v>
      </c>
      <c r="J77" s="16">
        <f t="shared" si="4"/>
        <v>360</v>
      </c>
      <c r="K77" s="16">
        <v>30</v>
      </c>
      <c r="L77" s="17">
        <f>J77/12</f>
        <v>30</v>
      </c>
      <c r="M77" s="17">
        <f>O$3-I77</f>
        <v>28</v>
      </c>
      <c r="N77" s="19">
        <f>M77/K77</f>
        <v>0.93333333333333335</v>
      </c>
      <c r="O77" s="1">
        <f t="shared" ref="O77:O140" si="8">O76+1</f>
        <v>67</v>
      </c>
    </row>
    <row r="78" spans="1:15" ht="24" customHeight="1" thickBot="1" x14ac:dyDescent="0.25">
      <c r="A78" s="407"/>
      <c r="B78" s="53" t="s">
        <v>119</v>
      </c>
      <c r="C78" s="28">
        <v>9</v>
      </c>
      <c r="D78" s="27">
        <v>0.4</v>
      </c>
      <c r="E78" s="28">
        <v>3.5000000000000003E-2</v>
      </c>
      <c r="F78" s="28">
        <v>1</v>
      </c>
      <c r="G78" s="29" t="s">
        <v>43</v>
      </c>
      <c r="H78" s="47" t="s">
        <v>44</v>
      </c>
      <c r="I78" s="26">
        <v>1997</v>
      </c>
      <c r="J78" s="31">
        <f t="shared" si="4"/>
        <v>360</v>
      </c>
      <c r="K78" s="31">
        <v>30</v>
      </c>
      <c r="L78" s="32">
        <f t="shared" si="5"/>
        <v>30</v>
      </c>
      <c r="M78" s="32">
        <f t="shared" si="6"/>
        <v>28</v>
      </c>
      <c r="N78" s="33">
        <f t="shared" si="7"/>
        <v>0.93333333333333335</v>
      </c>
      <c r="O78" s="1">
        <f t="shared" si="8"/>
        <v>68</v>
      </c>
    </row>
    <row r="79" spans="1:15" ht="26.25" customHeight="1" x14ac:dyDescent="0.2">
      <c r="A79" s="406">
        <v>10</v>
      </c>
      <c r="B79" s="244" t="s">
        <v>120</v>
      </c>
      <c r="C79" s="245">
        <v>6</v>
      </c>
      <c r="D79" s="246">
        <v>0.4</v>
      </c>
      <c r="E79" s="245">
        <v>0.12</v>
      </c>
      <c r="F79" s="246">
        <v>1</v>
      </c>
      <c r="G79" s="248" t="s">
        <v>121</v>
      </c>
      <c r="H79" s="249" t="s">
        <v>34</v>
      </c>
      <c r="I79" s="245">
        <v>2017</v>
      </c>
      <c r="J79" s="250">
        <f t="shared" si="4"/>
        <v>360</v>
      </c>
      <c r="K79" s="250">
        <v>30</v>
      </c>
      <c r="L79" s="42">
        <f t="shared" si="5"/>
        <v>30</v>
      </c>
      <c r="M79" s="42">
        <f t="shared" si="6"/>
        <v>8</v>
      </c>
      <c r="N79" s="43">
        <f t="shared" si="7"/>
        <v>0.26666666666666666</v>
      </c>
      <c r="O79" s="1">
        <f t="shared" si="8"/>
        <v>69</v>
      </c>
    </row>
    <row r="80" spans="1:15" x14ac:dyDescent="0.2">
      <c r="A80" s="408"/>
      <c r="B80" s="227" t="s">
        <v>120</v>
      </c>
      <c r="C80" s="228">
        <v>12</v>
      </c>
      <c r="D80" s="229">
        <v>0.4</v>
      </c>
      <c r="E80" s="228">
        <v>0.12</v>
      </c>
      <c r="F80" s="229">
        <v>1</v>
      </c>
      <c r="G80" s="230" t="s">
        <v>121</v>
      </c>
      <c r="H80" s="231" t="s">
        <v>34</v>
      </c>
      <c r="I80" s="228">
        <v>2017</v>
      </c>
      <c r="J80" s="232">
        <f t="shared" si="4"/>
        <v>360</v>
      </c>
      <c r="K80" s="232">
        <v>30</v>
      </c>
      <c r="L80" s="18">
        <f>J80/12</f>
        <v>30</v>
      </c>
      <c r="M80" s="18">
        <f>O$3-I80</f>
        <v>8</v>
      </c>
      <c r="N80" s="19">
        <f>M80/K80</f>
        <v>0.26666666666666666</v>
      </c>
      <c r="O80" s="1">
        <f t="shared" si="8"/>
        <v>70</v>
      </c>
    </row>
    <row r="81" spans="1:15" ht="39" customHeight="1" x14ac:dyDescent="0.2">
      <c r="A81" s="409"/>
      <c r="B81" s="10" t="s">
        <v>122</v>
      </c>
      <c r="C81" s="13">
        <v>3</v>
      </c>
      <c r="D81" s="12">
        <v>0.4</v>
      </c>
      <c r="E81" s="13">
        <f>0.33/2</f>
        <v>0.16500000000000001</v>
      </c>
      <c r="F81" s="51">
        <v>1</v>
      </c>
      <c r="G81" s="14" t="s">
        <v>123</v>
      </c>
      <c r="H81" s="15" t="s">
        <v>52</v>
      </c>
      <c r="I81" s="11">
        <v>1978</v>
      </c>
      <c r="J81" s="16">
        <f t="shared" si="4"/>
        <v>360</v>
      </c>
      <c r="K81" s="16">
        <v>30</v>
      </c>
      <c r="L81" s="17">
        <f t="shared" si="5"/>
        <v>30</v>
      </c>
      <c r="M81" s="17">
        <f t="shared" si="6"/>
        <v>47</v>
      </c>
      <c r="N81" s="19">
        <f t="shared" si="7"/>
        <v>1.5666666666666667</v>
      </c>
      <c r="O81" s="1">
        <f t="shared" si="8"/>
        <v>71</v>
      </c>
    </row>
    <row r="82" spans="1:15" ht="39" customHeight="1" x14ac:dyDescent="0.2">
      <c r="A82" s="409"/>
      <c r="B82" s="10" t="s">
        <v>122</v>
      </c>
      <c r="C82" s="13">
        <v>19</v>
      </c>
      <c r="D82" s="12">
        <v>0.4</v>
      </c>
      <c r="E82" s="13">
        <v>0.16500000000000001</v>
      </c>
      <c r="F82" s="51">
        <v>1</v>
      </c>
      <c r="G82" s="14" t="s">
        <v>123</v>
      </c>
      <c r="H82" s="15" t="s">
        <v>52</v>
      </c>
      <c r="I82" s="11">
        <v>1978</v>
      </c>
      <c r="J82" s="16">
        <f t="shared" si="4"/>
        <v>360</v>
      </c>
      <c r="K82" s="16">
        <v>30</v>
      </c>
      <c r="L82" s="17">
        <f>J82/12</f>
        <v>30</v>
      </c>
      <c r="M82" s="17">
        <f>O$3-I82</f>
        <v>47</v>
      </c>
      <c r="N82" s="19">
        <f>M82/K82</f>
        <v>1.5666666666666667</v>
      </c>
      <c r="O82" s="1">
        <f t="shared" si="8"/>
        <v>72</v>
      </c>
    </row>
    <row r="83" spans="1:15" ht="39" customHeight="1" x14ac:dyDescent="0.2">
      <c r="A83" s="409"/>
      <c r="B83" s="10" t="s">
        <v>124</v>
      </c>
      <c r="C83" s="13">
        <v>3</v>
      </c>
      <c r="D83" s="12">
        <v>0.4</v>
      </c>
      <c r="E83" s="13">
        <v>0.14000000000000001</v>
      </c>
      <c r="F83" s="51">
        <v>1</v>
      </c>
      <c r="G83" s="14" t="s">
        <v>125</v>
      </c>
      <c r="H83" s="15" t="s">
        <v>34</v>
      </c>
      <c r="I83" s="11">
        <v>1979</v>
      </c>
      <c r="J83" s="16">
        <f t="shared" si="4"/>
        <v>360</v>
      </c>
      <c r="K83" s="16">
        <v>30</v>
      </c>
      <c r="L83" s="17">
        <f t="shared" si="5"/>
        <v>30</v>
      </c>
      <c r="M83" s="17">
        <f t="shared" si="6"/>
        <v>46</v>
      </c>
      <c r="N83" s="19">
        <f t="shared" si="7"/>
        <v>1.5333333333333334</v>
      </c>
      <c r="O83" s="1">
        <f t="shared" si="8"/>
        <v>73</v>
      </c>
    </row>
    <row r="84" spans="1:15" ht="39" customHeight="1" x14ac:dyDescent="0.2">
      <c r="A84" s="409"/>
      <c r="B84" s="10" t="s">
        <v>124</v>
      </c>
      <c r="C84" s="13">
        <v>8</v>
      </c>
      <c r="D84" s="12">
        <v>0.4</v>
      </c>
      <c r="E84" s="13">
        <v>0.14000000000000001</v>
      </c>
      <c r="F84" s="51">
        <v>1</v>
      </c>
      <c r="G84" s="14" t="s">
        <v>125</v>
      </c>
      <c r="H84" s="15" t="s">
        <v>34</v>
      </c>
      <c r="I84" s="11">
        <v>1979</v>
      </c>
      <c r="J84" s="16">
        <f t="shared" si="4"/>
        <v>360</v>
      </c>
      <c r="K84" s="16">
        <v>30</v>
      </c>
      <c r="L84" s="17">
        <f>J84/12</f>
        <v>30</v>
      </c>
      <c r="M84" s="17">
        <f>O$3-I84</f>
        <v>46</v>
      </c>
      <c r="N84" s="19">
        <f>M84/K84</f>
        <v>1.5333333333333334</v>
      </c>
      <c r="O84" s="1">
        <f t="shared" si="8"/>
        <v>74</v>
      </c>
    </row>
    <row r="85" spans="1:15" ht="27" customHeight="1" x14ac:dyDescent="0.2">
      <c r="A85" s="409"/>
      <c r="B85" s="262" t="s">
        <v>126</v>
      </c>
      <c r="C85" s="263">
        <v>7</v>
      </c>
      <c r="D85" s="264">
        <v>0.4</v>
      </c>
      <c r="E85" s="263">
        <f>0.37/2</f>
        <v>0.185</v>
      </c>
      <c r="F85" s="264">
        <v>1</v>
      </c>
      <c r="G85" s="265" t="s">
        <v>127</v>
      </c>
      <c r="H85" s="275" t="s">
        <v>34</v>
      </c>
      <c r="I85" s="263">
        <v>2009</v>
      </c>
      <c r="J85" s="266">
        <f t="shared" si="4"/>
        <v>360</v>
      </c>
      <c r="K85" s="266">
        <v>30</v>
      </c>
      <c r="L85" s="267">
        <f t="shared" si="5"/>
        <v>30</v>
      </c>
      <c r="M85" s="267">
        <f t="shared" si="6"/>
        <v>16</v>
      </c>
      <c r="N85" s="19">
        <f t="shared" si="7"/>
        <v>0.53333333333333333</v>
      </c>
      <c r="O85" s="1">
        <f t="shared" si="8"/>
        <v>75</v>
      </c>
    </row>
    <row r="86" spans="1:15" x14ac:dyDescent="0.2">
      <c r="A86" s="409"/>
      <c r="B86" s="262" t="s">
        <v>126</v>
      </c>
      <c r="C86" s="263">
        <v>9</v>
      </c>
      <c r="D86" s="264">
        <v>0.4</v>
      </c>
      <c r="E86" s="263">
        <v>0.185</v>
      </c>
      <c r="F86" s="264">
        <v>1</v>
      </c>
      <c r="G86" s="265" t="s">
        <v>127</v>
      </c>
      <c r="H86" s="275" t="s">
        <v>34</v>
      </c>
      <c r="I86" s="263">
        <v>2009</v>
      </c>
      <c r="J86" s="266">
        <f t="shared" si="4"/>
        <v>360</v>
      </c>
      <c r="K86" s="266">
        <v>30</v>
      </c>
      <c r="L86" s="267">
        <f>J86/12</f>
        <v>30</v>
      </c>
      <c r="M86" s="267">
        <f>O$3-I86</f>
        <v>16</v>
      </c>
      <c r="N86" s="19">
        <f>M86/K86</f>
        <v>0.53333333333333333</v>
      </c>
      <c r="O86" s="1">
        <f t="shared" si="8"/>
        <v>76</v>
      </c>
    </row>
    <row r="87" spans="1:15" ht="25.5" x14ac:dyDescent="0.2">
      <c r="A87" s="409"/>
      <c r="B87" s="262" t="s">
        <v>128</v>
      </c>
      <c r="C87" s="263">
        <v>5</v>
      </c>
      <c r="D87" s="264">
        <v>0.4</v>
      </c>
      <c r="E87" s="263">
        <f>0.42/2</f>
        <v>0.21</v>
      </c>
      <c r="F87" s="264">
        <v>1</v>
      </c>
      <c r="G87" s="265" t="s">
        <v>129</v>
      </c>
      <c r="H87" s="275" t="s">
        <v>130</v>
      </c>
      <c r="I87" s="263">
        <v>2011</v>
      </c>
      <c r="J87" s="266">
        <f t="shared" si="4"/>
        <v>360</v>
      </c>
      <c r="K87" s="266">
        <v>30</v>
      </c>
      <c r="L87" s="267">
        <f t="shared" si="5"/>
        <v>30</v>
      </c>
      <c r="M87" s="267">
        <f t="shared" si="6"/>
        <v>14</v>
      </c>
      <c r="N87" s="19">
        <f t="shared" si="7"/>
        <v>0.46666666666666667</v>
      </c>
      <c r="O87" s="1">
        <f t="shared" si="8"/>
        <v>77</v>
      </c>
    </row>
    <row r="88" spans="1:15" ht="25.5" x14ac:dyDescent="0.2">
      <c r="A88" s="409"/>
      <c r="B88" s="262" t="s">
        <v>128</v>
      </c>
      <c r="C88" s="263">
        <v>14</v>
      </c>
      <c r="D88" s="264">
        <v>0.4</v>
      </c>
      <c r="E88" s="263">
        <v>0.21</v>
      </c>
      <c r="F88" s="264">
        <v>1</v>
      </c>
      <c r="G88" s="265" t="s">
        <v>129</v>
      </c>
      <c r="H88" s="275" t="s">
        <v>130</v>
      </c>
      <c r="I88" s="263">
        <v>2011</v>
      </c>
      <c r="J88" s="266">
        <f t="shared" si="4"/>
        <v>360</v>
      </c>
      <c r="K88" s="266">
        <v>30</v>
      </c>
      <c r="L88" s="267">
        <f>J88/12</f>
        <v>30</v>
      </c>
      <c r="M88" s="267">
        <f>O$3-I88</f>
        <v>14</v>
      </c>
      <c r="N88" s="19">
        <f>M88/K88</f>
        <v>0.46666666666666667</v>
      </c>
      <c r="O88" s="1">
        <f t="shared" si="8"/>
        <v>78</v>
      </c>
    </row>
    <row r="89" spans="1:15" ht="20.25" customHeight="1" x14ac:dyDescent="0.2">
      <c r="A89" s="409"/>
      <c r="B89" s="262" t="s">
        <v>131</v>
      </c>
      <c r="C89" s="263">
        <v>2</v>
      </c>
      <c r="D89" s="264">
        <v>0.4</v>
      </c>
      <c r="E89" s="263">
        <v>0.2</v>
      </c>
      <c r="F89" s="264">
        <v>1</v>
      </c>
      <c r="G89" s="265" t="s">
        <v>132</v>
      </c>
      <c r="H89" s="275" t="s">
        <v>52</v>
      </c>
      <c r="I89" s="263">
        <v>2010</v>
      </c>
      <c r="J89" s="266">
        <f t="shared" si="4"/>
        <v>360</v>
      </c>
      <c r="K89" s="266">
        <v>30</v>
      </c>
      <c r="L89" s="267">
        <f t="shared" si="5"/>
        <v>30</v>
      </c>
      <c r="M89" s="267">
        <f t="shared" si="6"/>
        <v>15</v>
      </c>
      <c r="N89" s="19">
        <f t="shared" si="7"/>
        <v>0.5</v>
      </c>
      <c r="O89" s="1">
        <f t="shared" si="8"/>
        <v>79</v>
      </c>
    </row>
    <row r="90" spans="1:15" ht="25.5" x14ac:dyDescent="0.2">
      <c r="A90" s="410"/>
      <c r="B90" s="227" t="s">
        <v>131</v>
      </c>
      <c r="C90" s="228">
        <v>2</v>
      </c>
      <c r="D90" s="229">
        <v>0.4</v>
      </c>
      <c r="E90" s="228">
        <v>0.18</v>
      </c>
      <c r="F90" s="229">
        <v>1</v>
      </c>
      <c r="G90" s="230" t="s">
        <v>698</v>
      </c>
      <c r="H90" s="231" t="s">
        <v>721</v>
      </c>
      <c r="I90" s="228">
        <v>2025</v>
      </c>
      <c r="J90" s="232">
        <f t="shared" si="4"/>
        <v>360</v>
      </c>
      <c r="K90" s="232">
        <v>30</v>
      </c>
      <c r="L90" s="18">
        <f>J90/12</f>
        <v>30</v>
      </c>
      <c r="M90" s="18">
        <f>O$3-I90</f>
        <v>0</v>
      </c>
      <c r="N90" s="345">
        <f>M90/K90</f>
        <v>0</v>
      </c>
      <c r="O90" s="1">
        <f t="shared" si="8"/>
        <v>80</v>
      </c>
    </row>
    <row r="91" spans="1:15" ht="25.5" x14ac:dyDescent="0.2">
      <c r="A91" s="410"/>
      <c r="B91" s="227" t="s">
        <v>133</v>
      </c>
      <c r="C91" s="228">
        <v>22</v>
      </c>
      <c r="D91" s="229">
        <v>0.4</v>
      </c>
      <c r="E91" s="228">
        <f>0.534/2</f>
        <v>0.26700000000000002</v>
      </c>
      <c r="F91" s="229">
        <v>1</v>
      </c>
      <c r="G91" s="230" t="s">
        <v>134</v>
      </c>
      <c r="H91" s="231" t="s">
        <v>721</v>
      </c>
      <c r="I91" s="228">
        <v>2016</v>
      </c>
      <c r="J91" s="232">
        <f t="shared" si="4"/>
        <v>360</v>
      </c>
      <c r="K91" s="232">
        <v>30</v>
      </c>
      <c r="L91" s="18">
        <f>J91/12</f>
        <v>30</v>
      </c>
      <c r="M91" s="18">
        <f>O$3-I91</f>
        <v>9</v>
      </c>
      <c r="N91" s="19">
        <f>M91/K91</f>
        <v>0.3</v>
      </c>
      <c r="O91" s="1">
        <f t="shared" si="8"/>
        <v>81</v>
      </c>
    </row>
    <row r="92" spans="1:15" ht="26.25" thickBot="1" x14ac:dyDescent="0.25">
      <c r="A92" s="407"/>
      <c r="B92" s="251" t="s">
        <v>133</v>
      </c>
      <c r="C92" s="242">
        <v>29</v>
      </c>
      <c r="D92" s="238">
        <v>0.4</v>
      </c>
      <c r="E92" s="242">
        <v>0.26700000000000002</v>
      </c>
      <c r="F92" s="238">
        <v>1</v>
      </c>
      <c r="G92" s="240" t="s">
        <v>134</v>
      </c>
      <c r="H92" s="231" t="s">
        <v>721</v>
      </c>
      <c r="I92" s="242">
        <v>2016</v>
      </c>
      <c r="J92" s="243">
        <f t="shared" si="4"/>
        <v>360</v>
      </c>
      <c r="K92" s="243">
        <v>30</v>
      </c>
      <c r="L92" s="48">
        <f t="shared" si="5"/>
        <v>30</v>
      </c>
      <c r="M92" s="48">
        <f t="shared" si="6"/>
        <v>9</v>
      </c>
      <c r="N92" s="33">
        <f t="shared" si="7"/>
        <v>0.3</v>
      </c>
      <c r="O92" s="1">
        <f t="shared" si="8"/>
        <v>82</v>
      </c>
    </row>
    <row r="93" spans="1:15" ht="13.5" thickBot="1" x14ac:dyDescent="0.25">
      <c r="A93" s="406">
        <v>11</v>
      </c>
      <c r="B93" s="288" t="s">
        <v>135</v>
      </c>
      <c r="C93" s="278">
        <v>8</v>
      </c>
      <c r="D93" s="277">
        <v>0.4</v>
      </c>
      <c r="E93" s="278">
        <v>0.1</v>
      </c>
      <c r="F93" s="277">
        <v>1</v>
      </c>
      <c r="G93" s="279" t="s">
        <v>136</v>
      </c>
      <c r="H93" s="280" t="s">
        <v>52</v>
      </c>
      <c r="I93" s="278">
        <v>2001</v>
      </c>
      <c r="J93" s="281">
        <f t="shared" si="4"/>
        <v>360</v>
      </c>
      <c r="K93" s="281">
        <v>30</v>
      </c>
      <c r="L93" s="282">
        <f t="shared" si="5"/>
        <v>30</v>
      </c>
      <c r="M93" s="282">
        <f t="shared" si="6"/>
        <v>24</v>
      </c>
      <c r="N93" s="43">
        <f t="shared" si="7"/>
        <v>0.8</v>
      </c>
      <c r="O93" s="1">
        <f t="shared" si="8"/>
        <v>83</v>
      </c>
    </row>
    <row r="94" spans="1:15" x14ac:dyDescent="0.2">
      <c r="A94" s="408"/>
      <c r="B94" s="288" t="s">
        <v>135</v>
      </c>
      <c r="C94" s="278">
        <v>2</v>
      </c>
      <c r="D94" s="277">
        <v>0.4</v>
      </c>
      <c r="E94" s="278">
        <v>0.1</v>
      </c>
      <c r="F94" s="277">
        <v>1</v>
      </c>
      <c r="G94" s="279" t="s">
        <v>136</v>
      </c>
      <c r="H94" s="280" t="s">
        <v>52</v>
      </c>
      <c r="I94" s="278">
        <v>2001</v>
      </c>
      <c r="J94" s="281">
        <f t="shared" si="4"/>
        <v>360</v>
      </c>
      <c r="K94" s="281">
        <v>30</v>
      </c>
      <c r="L94" s="282">
        <f>J94/12</f>
        <v>30</v>
      </c>
      <c r="M94" s="282">
        <f>O$3-I94</f>
        <v>24</v>
      </c>
      <c r="N94" s="43">
        <f>M94/K94</f>
        <v>0.8</v>
      </c>
      <c r="O94" s="1">
        <f t="shared" si="8"/>
        <v>84</v>
      </c>
    </row>
    <row r="95" spans="1:15" x14ac:dyDescent="0.2">
      <c r="A95" s="409"/>
      <c r="B95" s="262" t="s">
        <v>137</v>
      </c>
      <c r="C95" s="263">
        <v>7</v>
      </c>
      <c r="D95" s="264">
        <v>0.4</v>
      </c>
      <c r="E95" s="263">
        <v>7.0000000000000007E-2</v>
      </c>
      <c r="F95" s="264">
        <v>1</v>
      </c>
      <c r="G95" s="265" t="s">
        <v>138</v>
      </c>
      <c r="H95" s="275" t="s">
        <v>52</v>
      </c>
      <c r="I95" s="263">
        <v>2001</v>
      </c>
      <c r="J95" s="266">
        <f t="shared" si="4"/>
        <v>360</v>
      </c>
      <c r="K95" s="266">
        <v>30</v>
      </c>
      <c r="L95" s="267">
        <f t="shared" si="5"/>
        <v>30</v>
      </c>
      <c r="M95" s="267">
        <f t="shared" si="6"/>
        <v>24</v>
      </c>
      <c r="N95" s="19">
        <f t="shared" si="7"/>
        <v>0.8</v>
      </c>
      <c r="O95" s="1">
        <f t="shared" si="8"/>
        <v>85</v>
      </c>
    </row>
    <row r="96" spans="1:15" x14ac:dyDescent="0.2">
      <c r="A96" s="409"/>
      <c r="B96" s="262" t="s">
        <v>137</v>
      </c>
      <c r="C96" s="263">
        <v>23</v>
      </c>
      <c r="D96" s="264">
        <v>0.4</v>
      </c>
      <c r="E96" s="263">
        <v>7.0000000000000007E-2</v>
      </c>
      <c r="F96" s="264">
        <v>1</v>
      </c>
      <c r="G96" s="265" t="s">
        <v>138</v>
      </c>
      <c r="H96" s="275" t="s">
        <v>52</v>
      </c>
      <c r="I96" s="263">
        <v>2001</v>
      </c>
      <c r="J96" s="266">
        <f t="shared" si="4"/>
        <v>360</v>
      </c>
      <c r="K96" s="266">
        <v>30</v>
      </c>
      <c r="L96" s="267">
        <f>J96/12</f>
        <v>30</v>
      </c>
      <c r="M96" s="267">
        <f>O$3-I96</f>
        <v>24</v>
      </c>
      <c r="N96" s="19">
        <f>M96/K96</f>
        <v>0.8</v>
      </c>
      <c r="O96" s="1">
        <f t="shared" si="8"/>
        <v>86</v>
      </c>
    </row>
    <row r="97" spans="1:15" x14ac:dyDescent="0.2">
      <c r="A97" s="409"/>
      <c r="B97" s="262" t="s">
        <v>139</v>
      </c>
      <c r="C97" s="263">
        <v>5</v>
      </c>
      <c r="D97" s="264">
        <v>0.4</v>
      </c>
      <c r="E97" s="263">
        <v>0.4</v>
      </c>
      <c r="F97" s="264">
        <v>1</v>
      </c>
      <c r="G97" s="265" t="s">
        <v>140</v>
      </c>
      <c r="H97" s="275" t="s">
        <v>34</v>
      </c>
      <c r="I97" s="263">
        <v>2014</v>
      </c>
      <c r="J97" s="266">
        <f t="shared" si="4"/>
        <v>360</v>
      </c>
      <c r="K97" s="266">
        <v>30</v>
      </c>
      <c r="L97" s="267">
        <f t="shared" si="5"/>
        <v>30</v>
      </c>
      <c r="M97" s="267">
        <f t="shared" si="6"/>
        <v>11</v>
      </c>
      <c r="N97" s="19">
        <f t="shared" si="7"/>
        <v>0.36666666666666664</v>
      </c>
      <c r="O97" s="1">
        <f t="shared" si="8"/>
        <v>87</v>
      </c>
    </row>
    <row r="98" spans="1:15" x14ac:dyDescent="0.2">
      <c r="A98" s="409"/>
      <c r="B98" s="262" t="s">
        <v>139</v>
      </c>
      <c r="C98" s="263">
        <v>21</v>
      </c>
      <c r="D98" s="264">
        <v>0.4</v>
      </c>
      <c r="E98" s="263">
        <v>0.4</v>
      </c>
      <c r="F98" s="264">
        <v>1</v>
      </c>
      <c r="G98" s="265" t="s">
        <v>140</v>
      </c>
      <c r="H98" s="275" t="s">
        <v>34</v>
      </c>
      <c r="I98" s="263">
        <v>2014</v>
      </c>
      <c r="J98" s="266">
        <f t="shared" si="4"/>
        <v>360</v>
      </c>
      <c r="K98" s="266">
        <v>30</v>
      </c>
      <c r="L98" s="267">
        <f>J98/12</f>
        <v>30</v>
      </c>
      <c r="M98" s="267">
        <f>O$3-I98</f>
        <v>11</v>
      </c>
      <c r="N98" s="19">
        <f>M98/K98</f>
        <v>0.36666666666666664</v>
      </c>
      <c r="O98" s="1">
        <f t="shared" si="8"/>
        <v>88</v>
      </c>
    </row>
    <row r="99" spans="1:15" x14ac:dyDescent="0.2">
      <c r="A99" s="409"/>
      <c r="B99" s="10" t="s">
        <v>141</v>
      </c>
      <c r="C99" s="13">
        <v>6</v>
      </c>
      <c r="D99" s="12">
        <v>0.4</v>
      </c>
      <c r="E99" s="13">
        <v>0.24</v>
      </c>
      <c r="F99" s="51">
        <v>1</v>
      </c>
      <c r="G99" s="14" t="s">
        <v>142</v>
      </c>
      <c r="H99" s="15" t="s">
        <v>34</v>
      </c>
      <c r="I99" s="11">
        <v>1984</v>
      </c>
      <c r="J99" s="16">
        <f t="shared" ref="J99:J209" si="9">30*12</f>
        <v>360</v>
      </c>
      <c r="K99" s="16">
        <v>30</v>
      </c>
      <c r="L99" s="17">
        <f t="shared" si="5"/>
        <v>30</v>
      </c>
      <c r="M99" s="17">
        <f t="shared" si="6"/>
        <v>41</v>
      </c>
      <c r="N99" s="19">
        <f t="shared" si="7"/>
        <v>1.3666666666666667</v>
      </c>
      <c r="O99" s="1">
        <f t="shared" si="8"/>
        <v>89</v>
      </c>
    </row>
    <row r="100" spans="1:15" x14ac:dyDescent="0.2">
      <c r="A100" s="409"/>
      <c r="B100" s="10" t="s">
        <v>141</v>
      </c>
      <c r="C100" s="13">
        <v>6</v>
      </c>
      <c r="D100" s="12">
        <v>0.4</v>
      </c>
      <c r="E100" s="13">
        <v>0.24</v>
      </c>
      <c r="F100" s="51">
        <v>1</v>
      </c>
      <c r="G100" s="14" t="s">
        <v>142</v>
      </c>
      <c r="H100" s="15" t="s">
        <v>34</v>
      </c>
      <c r="I100" s="11">
        <v>1984</v>
      </c>
      <c r="J100" s="16">
        <f t="shared" si="9"/>
        <v>360</v>
      </c>
      <c r="K100" s="16">
        <v>30</v>
      </c>
      <c r="L100" s="17">
        <f>J100/12</f>
        <v>30</v>
      </c>
      <c r="M100" s="17">
        <f>O$3-I100</f>
        <v>41</v>
      </c>
      <c r="N100" s="19">
        <f>M100/K100</f>
        <v>1.3666666666666667</v>
      </c>
      <c r="O100" s="1">
        <f t="shared" si="8"/>
        <v>90</v>
      </c>
    </row>
    <row r="101" spans="1:15" x14ac:dyDescent="0.2">
      <c r="A101" s="409"/>
      <c r="B101" s="10" t="s">
        <v>143</v>
      </c>
      <c r="C101" s="13">
        <v>9</v>
      </c>
      <c r="D101" s="12">
        <v>0.4</v>
      </c>
      <c r="E101" s="13">
        <v>0.19500000000000001</v>
      </c>
      <c r="F101" s="51">
        <v>1</v>
      </c>
      <c r="G101" s="14" t="s">
        <v>144</v>
      </c>
      <c r="H101" s="15" t="s">
        <v>52</v>
      </c>
      <c r="I101" s="11">
        <v>1965</v>
      </c>
      <c r="J101" s="16">
        <f t="shared" si="9"/>
        <v>360</v>
      </c>
      <c r="K101" s="16">
        <v>30</v>
      </c>
      <c r="L101" s="17">
        <f t="shared" si="5"/>
        <v>30</v>
      </c>
      <c r="M101" s="17">
        <f t="shared" si="6"/>
        <v>60</v>
      </c>
      <c r="N101" s="19">
        <f t="shared" si="7"/>
        <v>2</v>
      </c>
      <c r="O101" s="1">
        <f t="shared" si="8"/>
        <v>91</v>
      </c>
    </row>
    <row r="102" spans="1:15" x14ac:dyDescent="0.2">
      <c r="A102" s="409"/>
      <c r="B102" s="227" t="s">
        <v>683</v>
      </c>
      <c r="C102" s="228">
        <v>14</v>
      </c>
      <c r="D102" s="229">
        <v>0.4</v>
      </c>
      <c r="E102" s="228">
        <v>0.185</v>
      </c>
      <c r="F102" s="229">
        <v>1</v>
      </c>
      <c r="G102" s="230" t="s">
        <v>690</v>
      </c>
      <c r="H102" s="231" t="s">
        <v>684</v>
      </c>
      <c r="I102" s="228">
        <v>2024</v>
      </c>
      <c r="J102" s="232">
        <f t="shared" si="9"/>
        <v>360</v>
      </c>
      <c r="K102" s="232">
        <v>30</v>
      </c>
      <c r="L102" s="18">
        <f t="shared" si="5"/>
        <v>30</v>
      </c>
      <c r="M102" s="18">
        <f t="shared" si="6"/>
        <v>1</v>
      </c>
      <c r="N102" s="19">
        <f t="shared" si="7"/>
        <v>3.3333333333333333E-2</v>
      </c>
      <c r="O102" s="1">
        <f t="shared" si="8"/>
        <v>92</v>
      </c>
    </row>
    <row r="103" spans="1:15" x14ac:dyDescent="0.2">
      <c r="A103" s="409"/>
      <c r="B103" s="10" t="s">
        <v>145</v>
      </c>
      <c r="C103" s="13">
        <v>3</v>
      </c>
      <c r="D103" s="12">
        <v>0.4</v>
      </c>
      <c r="E103" s="13">
        <v>0.04</v>
      </c>
      <c r="F103" s="51">
        <v>1</v>
      </c>
      <c r="G103" s="14" t="s">
        <v>79</v>
      </c>
      <c r="H103" s="15" t="s">
        <v>44</v>
      </c>
      <c r="I103" s="11">
        <v>1968</v>
      </c>
      <c r="J103" s="16">
        <f t="shared" si="9"/>
        <v>360</v>
      </c>
      <c r="K103" s="16">
        <v>30</v>
      </c>
      <c r="L103" s="17">
        <f t="shared" si="5"/>
        <v>30</v>
      </c>
      <c r="M103" s="17">
        <f t="shared" si="6"/>
        <v>57</v>
      </c>
      <c r="N103" s="19">
        <f t="shared" si="7"/>
        <v>1.9</v>
      </c>
      <c r="O103" s="1">
        <f t="shared" si="8"/>
        <v>93</v>
      </c>
    </row>
    <row r="104" spans="1:15" x14ac:dyDescent="0.2">
      <c r="A104" s="409"/>
      <c r="B104" s="10" t="s">
        <v>146</v>
      </c>
      <c r="C104" s="13">
        <v>5</v>
      </c>
      <c r="D104" s="12">
        <v>0.4</v>
      </c>
      <c r="E104" s="13">
        <v>7.4999999999999997E-2</v>
      </c>
      <c r="F104" s="51">
        <v>1</v>
      </c>
      <c r="G104" s="14" t="s">
        <v>79</v>
      </c>
      <c r="H104" s="15" t="s">
        <v>44</v>
      </c>
      <c r="I104" s="11">
        <v>1964</v>
      </c>
      <c r="J104" s="16">
        <f t="shared" si="9"/>
        <v>360</v>
      </c>
      <c r="K104" s="16">
        <v>30</v>
      </c>
      <c r="L104" s="17">
        <f t="shared" si="5"/>
        <v>30</v>
      </c>
      <c r="M104" s="17">
        <f t="shared" si="6"/>
        <v>61</v>
      </c>
      <c r="N104" s="19">
        <f t="shared" si="7"/>
        <v>2.0333333333333332</v>
      </c>
      <c r="O104" s="1">
        <f t="shared" si="8"/>
        <v>94</v>
      </c>
    </row>
    <row r="105" spans="1:15" ht="13.5" thickBot="1" x14ac:dyDescent="0.25">
      <c r="A105" s="407"/>
      <c r="B105" s="53" t="s">
        <v>147</v>
      </c>
      <c r="C105" s="28">
        <v>11</v>
      </c>
      <c r="D105" s="27">
        <v>0.4</v>
      </c>
      <c r="E105" s="28">
        <v>0.15</v>
      </c>
      <c r="F105" s="46">
        <v>1</v>
      </c>
      <c r="G105" s="29" t="s">
        <v>148</v>
      </c>
      <c r="H105" s="47" t="s">
        <v>52</v>
      </c>
      <c r="I105" s="26">
        <v>1968</v>
      </c>
      <c r="J105" s="31">
        <f t="shared" si="9"/>
        <v>360</v>
      </c>
      <c r="K105" s="31">
        <v>30</v>
      </c>
      <c r="L105" s="32">
        <f t="shared" si="5"/>
        <v>30</v>
      </c>
      <c r="M105" s="32">
        <f t="shared" si="6"/>
        <v>57</v>
      </c>
      <c r="N105" s="33">
        <f t="shared" si="7"/>
        <v>1.9</v>
      </c>
      <c r="O105" s="1">
        <f t="shared" si="8"/>
        <v>95</v>
      </c>
    </row>
    <row r="106" spans="1:15" x14ac:dyDescent="0.2">
      <c r="A106" s="406">
        <v>12</v>
      </c>
      <c r="B106" s="54" t="s">
        <v>149</v>
      </c>
      <c r="C106" s="37">
        <v>3</v>
      </c>
      <c r="D106" s="36">
        <v>0.4</v>
      </c>
      <c r="E106" s="49">
        <v>0.28499999999999998</v>
      </c>
      <c r="F106" s="49">
        <v>1</v>
      </c>
      <c r="G106" s="38" t="s">
        <v>150</v>
      </c>
      <c r="H106" s="39" t="s">
        <v>52</v>
      </c>
      <c r="I106" s="36">
        <v>1986</v>
      </c>
      <c r="J106" s="40">
        <f t="shared" si="9"/>
        <v>360</v>
      </c>
      <c r="K106" s="40">
        <v>30</v>
      </c>
      <c r="L106" s="41">
        <f t="shared" si="5"/>
        <v>30</v>
      </c>
      <c r="M106" s="41">
        <f t="shared" si="6"/>
        <v>39</v>
      </c>
      <c r="N106" s="43">
        <f t="shared" si="7"/>
        <v>1.3</v>
      </c>
      <c r="O106" s="1">
        <f t="shared" si="8"/>
        <v>96</v>
      </c>
    </row>
    <row r="107" spans="1:15" x14ac:dyDescent="0.2">
      <c r="A107" s="409"/>
      <c r="B107" s="235" t="s">
        <v>149</v>
      </c>
      <c r="C107" s="228">
        <v>13</v>
      </c>
      <c r="D107" s="229">
        <v>0.4</v>
      </c>
      <c r="E107" s="229">
        <v>0.25</v>
      </c>
      <c r="F107" s="229">
        <v>1</v>
      </c>
      <c r="G107" s="230" t="s">
        <v>46</v>
      </c>
      <c r="H107" s="231" t="s">
        <v>52</v>
      </c>
      <c r="I107" s="229">
        <v>2018</v>
      </c>
      <c r="J107" s="232">
        <f t="shared" si="9"/>
        <v>360</v>
      </c>
      <c r="K107" s="232">
        <v>30</v>
      </c>
      <c r="L107" s="18">
        <f t="shared" si="5"/>
        <v>30</v>
      </c>
      <c r="M107" s="18">
        <f t="shared" si="6"/>
        <v>7</v>
      </c>
      <c r="N107" s="19">
        <f t="shared" si="7"/>
        <v>0.23333333333333334</v>
      </c>
      <c r="O107" s="1">
        <f t="shared" si="8"/>
        <v>97</v>
      </c>
    </row>
    <row r="108" spans="1:15" x14ac:dyDescent="0.2">
      <c r="A108" s="409"/>
      <c r="B108" s="52" t="s">
        <v>151</v>
      </c>
      <c r="C108" s="13">
        <v>2</v>
      </c>
      <c r="D108" s="12">
        <v>0.4</v>
      </c>
      <c r="E108" s="51">
        <f>0.45/2</f>
        <v>0.22500000000000001</v>
      </c>
      <c r="F108" s="51">
        <v>1</v>
      </c>
      <c r="G108" s="14" t="s">
        <v>152</v>
      </c>
      <c r="H108" s="15" t="s">
        <v>52</v>
      </c>
      <c r="I108" s="12">
        <v>1985</v>
      </c>
      <c r="J108" s="16">
        <f t="shared" si="9"/>
        <v>360</v>
      </c>
      <c r="K108" s="16">
        <v>30</v>
      </c>
      <c r="L108" s="17">
        <f t="shared" si="5"/>
        <v>30</v>
      </c>
      <c r="M108" s="17">
        <f t="shared" si="6"/>
        <v>40</v>
      </c>
      <c r="N108" s="19">
        <f t="shared" si="7"/>
        <v>1.3333333333333333</v>
      </c>
      <c r="O108" s="1">
        <f t="shared" si="8"/>
        <v>98</v>
      </c>
    </row>
    <row r="109" spans="1:15" x14ac:dyDescent="0.2">
      <c r="A109" s="409"/>
      <c r="B109" s="52" t="s">
        <v>151</v>
      </c>
      <c r="C109" s="13">
        <v>12</v>
      </c>
      <c r="D109" s="12">
        <v>0.4</v>
      </c>
      <c r="E109" s="51">
        <v>0.22500000000000001</v>
      </c>
      <c r="F109" s="51">
        <v>1</v>
      </c>
      <c r="G109" s="14" t="s">
        <v>152</v>
      </c>
      <c r="H109" s="15" t="s">
        <v>52</v>
      </c>
      <c r="I109" s="12">
        <v>1985</v>
      </c>
      <c r="J109" s="16">
        <f t="shared" si="9"/>
        <v>360</v>
      </c>
      <c r="K109" s="16">
        <v>30</v>
      </c>
      <c r="L109" s="17">
        <f>J109/12</f>
        <v>30</v>
      </c>
      <c r="M109" s="17">
        <f>O$3-I109</f>
        <v>40</v>
      </c>
      <c r="N109" s="19">
        <f>M109/K109</f>
        <v>1.3333333333333333</v>
      </c>
      <c r="O109" s="1">
        <f t="shared" si="8"/>
        <v>99</v>
      </c>
    </row>
    <row r="110" spans="1:15" x14ac:dyDescent="0.2">
      <c r="A110" s="409"/>
      <c r="B110" s="52" t="s">
        <v>153</v>
      </c>
      <c r="C110" s="13">
        <v>5</v>
      </c>
      <c r="D110" s="12">
        <v>0.4</v>
      </c>
      <c r="E110" s="51">
        <v>0.06</v>
      </c>
      <c r="F110" s="51">
        <v>1</v>
      </c>
      <c r="G110" s="14" t="s">
        <v>154</v>
      </c>
      <c r="H110" s="15" t="s">
        <v>52</v>
      </c>
      <c r="I110" s="12">
        <v>1975</v>
      </c>
      <c r="J110" s="16">
        <f t="shared" si="9"/>
        <v>360</v>
      </c>
      <c r="K110" s="16">
        <v>30</v>
      </c>
      <c r="L110" s="17">
        <f t="shared" si="5"/>
        <v>30</v>
      </c>
      <c r="M110" s="17">
        <f t="shared" si="6"/>
        <v>50</v>
      </c>
      <c r="N110" s="19">
        <f t="shared" si="7"/>
        <v>1.6666666666666667</v>
      </c>
      <c r="O110" s="1">
        <f t="shared" si="8"/>
        <v>100</v>
      </c>
    </row>
    <row r="111" spans="1:15" x14ac:dyDescent="0.2">
      <c r="A111" s="409"/>
      <c r="B111" s="235" t="s">
        <v>155</v>
      </c>
      <c r="C111" s="229">
        <v>9</v>
      </c>
      <c r="D111" s="229">
        <v>0.4</v>
      </c>
      <c r="E111" s="229">
        <v>0.09</v>
      </c>
      <c r="F111" s="229">
        <v>1</v>
      </c>
      <c r="G111" s="230" t="s">
        <v>156</v>
      </c>
      <c r="H111" s="231" t="s">
        <v>52</v>
      </c>
      <c r="I111" s="229">
        <v>2015</v>
      </c>
      <c r="J111" s="232">
        <f t="shared" si="9"/>
        <v>360</v>
      </c>
      <c r="K111" s="232">
        <v>30</v>
      </c>
      <c r="L111" s="18">
        <f t="shared" si="5"/>
        <v>30</v>
      </c>
      <c r="M111" s="18">
        <f t="shared" si="6"/>
        <v>10</v>
      </c>
      <c r="N111" s="19">
        <f t="shared" si="7"/>
        <v>0.33333333333333331</v>
      </c>
      <c r="O111" s="1">
        <f t="shared" si="8"/>
        <v>101</v>
      </c>
    </row>
    <row r="112" spans="1:15" x14ac:dyDescent="0.2">
      <c r="A112" s="410"/>
      <c r="B112" s="235" t="s">
        <v>155</v>
      </c>
      <c r="C112" s="229">
        <v>15</v>
      </c>
      <c r="D112" s="229">
        <v>0.4</v>
      </c>
      <c r="E112" s="229">
        <v>0.09</v>
      </c>
      <c r="F112" s="229">
        <v>1</v>
      </c>
      <c r="G112" s="230" t="s">
        <v>156</v>
      </c>
      <c r="H112" s="231" t="s">
        <v>52</v>
      </c>
      <c r="I112" s="229">
        <v>2015</v>
      </c>
      <c r="J112" s="232">
        <f t="shared" si="9"/>
        <v>360</v>
      </c>
      <c r="K112" s="232">
        <v>30</v>
      </c>
      <c r="L112" s="18">
        <f>J112/12</f>
        <v>30</v>
      </c>
      <c r="M112" s="18">
        <f>O$3-I112</f>
        <v>10</v>
      </c>
      <c r="N112" s="19">
        <f>M112/K112</f>
        <v>0.33333333333333331</v>
      </c>
      <c r="O112" s="1">
        <f t="shared" si="8"/>
        <v>102</v>
      </c>
    </row>
    <row r="113" spans="1:15" x14ac:dyDescent="0.2">
      <c r="A113" s="410"/>
      <c r="B113" s="58" t="s">
        <v>157</v>
      </c>
      <c r="C113" s="51">
        <v>7</v>
      </c>
      <c r="D113" s="51">
        <v>0.4</v>
      </c>
      <c r="E113" s="51">
        <v>0.08</v>
      </c>
      <c r="F113" s="51">
        <v>1</v>
      </c>
      <c r="G113" s="14" t="s">
        <v>158</v>
      </c>
      <c r="H113" s="23" t="s">
        <v>52</v>
      </c>
      <c r="I113" s="51">
        <v>1999</v>
      </c>
      <c r="J113" s="16">
        <f t="shared" si="9"/>
        <v>360</v>
      </c>
      <c r="K113" s="16">
        <v>30</v>
      </c>
      <c r="L113" s="17">
        <f>J113/12</f>
        <v>30</v>
      </c>
      <c r="M113" s="17">
        <f>O$3-I113</f>
        <v>26</v>
      </c>
      <c r="N113" s="19">
        <f>M113/K113</f>
        <v>0.8666666666666667</v>
      </c>
      <c r="O113" s="1">
        <f t="shared" si="8"/>
        <v>103</v>
      </c>
    </row>
    <row r="114" spans="1:15" x14ac:dyDescent="0.2">
      <c r="A114" s="410"/>
      <c r="B114" s="58" t="s">
        <v>157</v>
      </c>
      <c r="C114" s="51">
        <v>7</v>
      </c>
      <c r="D114" s="51">
        <v>0.4</v>
      </c>
      <c r="E114" s="51">
        <v>0.08</v>
      </c>
      <c r="F114" s="51">
        <v>1</v>
      </c>
      <c r="G114" s="14" t="s">
        <v>158</v>
      </c>
      <c r="H114" s="23" t="s">
        <v>52</v>
      </c>
      <c r="I114" s="51">
        <v>1999</v>
      </c>
      <c r="J114" s="16">
        <f t="shared" si="9"/>
        <v>360</v>
      </c>
      <c r="K114" s="16">
        <v>30</v>
      </c>
      <c r="L114" s="17">
        <f>J114/12</f>
        <v>30</v>
      </c>
      <c r="M114" s="17">
        <f>O$3-I114</f>
        <v>26</v>
      </c>
      <c r="N114" s="19">
        <f>M114/K114</f>
        <v>0.8666666666666667</v>
      </c>
      <c r="O114" s="1">
        <f t="shared" si="8"/>
        <v>104</v>
      </c>
    </row>
    <row r="115" spans="1:15" x14ac:dyDescent="0.2">
      <c r="A115" s="410"/>
      <c r="B115" s="58" t="s">
        <v>157</v>
      </c>
      <c r="C115" s="51">
        <v>18</v>
      </c>
      <c r="D115" s="51">
        <v>0.4</v>
      </c>
      <c r="E115" s="51">
        <v>0.08</v>
      </c>
      <c r="F115" s="51">
        <v>1</v>
      </c>
      <c r="G115" s="14" t="s">
        <v>158</v>
      </c>
      <c r="H115" s="23" t="s">
        <v>52</v>
      </c>
      <c r="I115" s="51">
        <v>1999</v>
      </c>
      <c r="J115" s="16">
        <f t="shared" si="9"/>
        <v>360</v>
      </c>
      <c r="K115" s="16">
        <v>30</v>
      </c>
      <c r="L115" s="17">
        <f>J115/12</f>
        <v>30</v>
      </c>
      <c r="M115" s="17">
        <f>O$3-I115</f>
        <v>26</v>
      </c>
      <c r="N115" s="19">
        <f>M115/K115</f>
        <v>0.8666666666666667</v>
      </c>
      <c r="O115" s="1">
        <f t="shared" si="8"/>
        <v>105</v>
      </c>
    </row>
    <row r="116" spans="1:15" ht="13.5" thickBot="1" x14ac:dyDescent="0.25">
      <c r="A116" s="407"/>
      <c r="B116" s="67" t="s">
        <v>157</v>
      </c>
      <c r="C116" s="46">
        <v>18</v>
      </c>
      <c r="D116" s="46">
        <v>0.4</v>
      </c>
      <c r="E116" s="46">
        <v>0.08</v>
      </c>
      <c r="F116" s="46">
        <v>1</v>
      </c>
      <c r="G116" s="29" t="s">
        <v>158</v>
      </c>
      <c r="H116" s="76" t="s">
        <v>52</v>
      </c>
      <c r="I116" s="46">
        <v>1999</v>
      </c>
      <c r="J116" s="31">
        <f t="shared" si="9"/>
        <v>360</v>
      </c>
      <c r="K116" s="31">
        <v>30</v>
      </c>
      <c r="L116" s="32">
        <f t="shared" si="5"/>
        <v>30</v>
      </c>
      <c r="M116" s="32">
        <f t="shared" si="6"/>
        <v>26</v>
      </c>
      <c r="N116" s="33">
        <f t="shared" si="7"/>
        <v>0.8666666666666667</v>
      </c>
      <c r="O116" s="1">
        <f t="shared" si="8"/>
        <v>106</v>
      </c>
    </row>
    <row r="117" spans="1:15" ht="36" customHeight="1" x14ac:dyDescent="0.2">
      <c r="A117" s="406">
        <v>13</v>
      </c>
      <c r="B117" s="244" t="s">
        <v>159</v>
      </c>
      <c r="C117" s="246">
        <v>5</v>
      </c>
      <c r="D117" s="246">
        <v>0.4</v>
      </c>
      <c r="E117" s="246">
        <v>0.115</v>
      </c>
      <c r="F117" s="246">
        <v>1</v>
      </c>
      <c r="G117" s="248" t="s">
        <v>160</v>
      </c>
      <c r="H117" s="249" t="s">
        <v>34</v>
      </c>
      <c r="I117" s="245">
        <v>2015</v>
      </c>
      <c r="J117" s="250">
        <f t="shared" si="9"/>
        <v>360</v>
      </c>
      <c r="K117" s="250">
        <v>30</v>
      </c>
      <c r="L117" s="42">
        <f t="shared" si="5"/>
        <v>30</v>
      </c>
      <c r="M117" s="42">
        <f t="shared" si="6"/>
        <v>10</v>
      </c>
      <c r="N117" s="43">
        <f t="shared" si="7"/>
        <v>0.33333333333333331</v>
      </c>
      <c r="O117" s="1">
        <f t="shared" si="8"/>
        <v>107</v>
      </c>
    </row>
    <row r="118" spans="1:15" ht="36" customHeight="1" x14ac:dyDescent="0.2">
      <c r="A118" s="408"/>
      <c r="B118" s="227" t="s">
        <v>159</v>
      </c>
      <c r="C118" s="229">
        <v>18</v>
      </c>
      <c r="D118" s="229">
        <v>0.4</v>
      </c>
      <c r="E118" s="229">
        <f>0.23/2</f>
        <v>0.115</v>
      </c>
      <c r="F118" s="229">
        <v>1</v>
      </c>
      <c r="G118" s="230" t="s">
        <v>160</v>
      </c>
      <c r="H118" s="231" t="s">
        <v>34</v>
      </c>
      <c r="I118" s="228">
        <v>2015</v>
      </c>
      <c r="J118" s="232">
        <f t="shared" si="9"/>
        <v>360</v>
      </c>
      <c r="K118" s="232">
        <v>30</v>
      </c>
      <c r="L118" s="18">
        <f>J118/12</f>
        <v>30</v>
      </c>
      <c r="M118" s="18">
        <f>O$3-I118</f>
        <v>10</v>
      </c>
      <c r="N118" s="19">
        <f>M118/K118</f>
        <v>0.33333333333333331</v>
      </c>
      <c r="O118" s="1">
        <f t="shared" si="8"/>
        <v>108</v>
      </c>
    </row>
    <row r="119" spans="1:15" ht="36.75" customHeight="1" x14ac:dyDescent="0.2">
      <c r="A119" s="409"/>
      <c r="B119" s="227" t="s">
        <v>161</v>
      </c>
      <c r="C119" s="229">
        <v>3</v>
      </c>
      <c r="D119" s="229">
        <v>0.4</v>
      </c>
      <c r="E119" s="229">
        <f>0.344/2</f>
        <v>0.17199999999999999</v>
      </c>
      <c r="F119" s="229">
        <v>1</v>
      </c>
      <c r="G119" s="230" t="s">
        <v>160</v>
      </c>
      <c r="H119" s="231" t="s">
        <v>34</v>
      </c>
      <c r="I119" s="228">
        <v>2015</v>
      </c>
      <c r="J119" s="232">
        <f t="shared" si="9"/>
        <v>360</v>
      </c>
      <c r="K119" s="232">
        <v>30</v>
      </c>
      <c r="L119" s="18">
        <f t="shared" si="5"/>
        <v>30</v>
      </c>
      <c r="M119" s="18">
        <f t="shared" si="6"/>
        <v>10</v>
      </c>
      <c r="N119" s="19">
        <f t="shared" si="7"/>
        <v>0.33333333333333331</v>
      </c>
      <c r="O119" s="1">
        <f t="shared" si="8"/>
        <v>109</v>
      </c>
    </row>
    <row r="120" spans="1:15" ht="36.75" customHeight="1" x14ac:dyDescent="0.2">
      <c r="A120" s="409"/>
      <c r="B120" s="227" t="s">
        <v>161</v>
      </c>
      <c r="C120" s="229">
        <v>16</v>
      </c>
      <c r="D120" s="229">
        <v>0.4</v>
      </c>
      <c r="E120" s="229">
        <v>0.17199999999999999</v>
      </c>
      <c r="F120" s="229">
        <v>1</v>
      </c>
      <c r="G120" s="230" t="s">
        <v>160</v>
      </c>
      <c r="H120" s="231" t="s">
        <v>34</v>
      </c>
      <c r="I120" s="228">
        <v>2015</v>
      </c>
      <c r="J120" s="232">
        <f t="shared" si="9"/>
        <v>360</v>
      </c>
      <c r="K120" s="232">
        <v>30</v>
      </c>
      <c r="L120" s="18">
        <f>J120/12</f>
        <v>30</v>
      </c>
      <c r="M120" s="18">
        <f>O$3-I120</f>
        <v>10</v>
      </c>
      <c r="N120" s="19">
        <f>M120/K120</f>
        <v>0.33333333333333331</v>
      </c>
      <c r="O120" s="1">
        <f t="shared" si="8"/>
        <v>110</v>
      </c>
    </row>
    <row r="121" spans="1:15" ht="45" customHeight="1" x14ac:dyDescent="0.2">
      <c r="A121" s="409"/>
      <c r="B121" s="227" t="s">
        <v>162</v>
      </c>
      <c r="C121" s="229">
        <v>7</v>
      </c>
      <c r="D121" s="229">
        <v>0.4</v>
      </c>
      <c r="E121" s="229">
        <f>0.23/2</f>
        <v>0.115</v>
      </c>
      <c r="F121" s="229">
        <v>1</v>
      </c>
      <c r="G121" s="230" t="s">
        <v>163</v>
      </c>
      <c r="H121" s="231" t="s">
        <v>52</v>
      </c>
      <c r="I121" s="228">
        <v>2015</v>
      </c>
      <c r="J121" s="232">
        <f t="shared" si="9"/>
        <v>360</v>
      </c>
      <c r="K121" s="232">
        <v>30</v>
      </c>
      <c r="L121" s="18">
        <f t="shared" si="5"/>
        <v>30</v>
      </c>
      <c r="M121" s="18">
        <f t="shared" si="6"/>
        <v>10</v>
      </c>
      <c r="N121" s="19">
        <f t="shared" si="7"/>
        <v>0.33333333333333331</v>
      </c>
      <c r="O121" s="1">
        <f t="shared" si="8"/>
        <v>111</v>
      </c>
    </row>
    <row r="122" spans="1:15" ht="45" customHeight="1" x14ac:dyDescent="0.2">
      <c r="A122" s="409"/>
      <c r="B122" s="227" t="s">
        <v>162</v>
      </c>
      <c r="C122" s="229">
        <v>14</v>
      </c>
      <c r="D122" s="229">
        <v>0.4</v>
      </c>
      <c r="E122" s="229">
        <v>0.115</v>
      </c>
      <c r="F122" s="229">
        <v>1</v>
      </c>
      <c r="G122" s="230" t="s">
        <v>163</v>
      </c>
      <c r="H122" s="231" t="s">
        <v>52</v>
      </c>
      <c r="I122" s="228">
        <v>2015</v>
      </c>
      <c r="J122" s="232">
        <f t="shared" si="9"/>
        <v>360</v>
      </c>
      <c r="K122" s="232">
        <v>30</v>
      </c>
      <c r="L122" s="18">
        <f>J122/12</f>
        <v>30</v>
      </c>
      <c r="M122" s="18">
        <f>O$3-I122</f>
        <v>10</v>
      </c>
      <c r="N122" s="19">
        <f>M122/K122</f>
        <v>0.33333333333333331</v>
      </c>
      <c r="O122" s="1">
        <f t="shared" si="8"/>
        <v>112</v>
      </c>
    </row>
    <row r="123" spans="1:15" ht="43.5" customHeight="1" x14ac:dyDescent="0.2">
      <c r="A123" s="409"/>
      <c r="B123" s="58" t="s">
        <v>164</v>
      </c>
      <c r="C123" s="51">
        <v>4</v>
      </c>
      <c r="D123" s="12">
        <v>0.4</v>
      </c>
      <c r="E123" s="51">
        <v>0.2</v>
      </c>
      <c r="F123" s="51">
        <v>1</v>
      </c>
      <c r="G123" s="14" t="s">
        <v>165</v>
      </c>
      <c r="H123" s="15" t="s">
        <v>52</v>
      </c>
      <c r="I123" s="11">
        <v>1992</v>
      </c>
      <c r="J123" s="16">
        <f t="shared" si="9"/>
        <v>360</v>
      </c>
      <c r="K123" s="16">
        <v>30</v>
      </c>
      <c r="L123" s="17">
        <f t="shared" si="5"/>
        <v>30</v>
      </c>
      <c r="M123" s="17">
        <f t="shared" si="6"/>
        <v>33</v>
      </c>
      <c r="N123" s="19">
        <f t="shared" si="7"/>
        <v>1.1000000000000001</v>
      </c>
      <c r="O123" s="1">
        <f t="shared" si="8"/>
        <v>113</v>
      </c>
    </row>
    <row r="124" spans="1:15" ht="43.5" customHeight="1" x14ac:dyDescent="0.2">
      <c r="A124" s="409"/>
      <c r="B124" s="58" t="s">
        <v>164</v>
      </c>
      <c r="C124" s="51">
        <v>23</v>
      </c>
      <c r="D124" s="12">
        <v>0.4</v>
      </c>
      <c r="E124" s="51">
        <v>0.2</v>
      </c>
      <c r="F124" s="51">
        <v>1</v>
      </c>
      <c r="G124" s="14" t="s">
        <v>165</v>
      </c>
      <c r="H124" s="15" t="s">
        <v>52</v>
      </c>
      <c r="I124" s="11">
        <v>1992</v>
      </c>
      <c r="J124" s="16">
        <f t="shared" si="9"/>
        <v>360</v>
      </c>
      <c r="K124" s="16">
        <v>30</v>
      </c>
      <c r="L124" s="17">
        <f>J124/12</f>
        <v>30</v>
      </c>
      <c r="M124" s="17">
        <f>O$3-I124</f>
        <v>33</v>
      </c>
      <c r="N124" s="19">
        <f>M124/K124</f>
        <v>1.1000000000000001</v>
      </c>
      <c r="O124" s="1">
        <f t="shared" si="8"/>
        <v>114</v>
      </c>
    </row>
    <row r="125" spans="1:15" ht="36" customHeight="1" x14ac:dyDescent="0.2">
      <c r="A125" s="409"/>
      <c r="B125" s="235" t="s">
        <v>166</v>
      </c>
      <c r="C125" s="229"/>
      <c r="D125" s="229">
        <v>6</v>
      </c>
      <c r="E125" s="236">
        <v>0.51700000000000002</v>
      </c>
      <c r="F125" s="236">
        <v>1</v>
      </c>
      <c r="G125" s="252" t="s">
        <v>167</v>
      </c>
      <c r="H125" s="231" t="s">
        <v>34</v>
      </c>
      <c r="I125" s="228">
        <v>2023</v>
      </c>
      <c r="J125" s="232">
        <f t="shared" si="9"/>
        <v>360</v>
      </c>
      <c r="K125" s="232">
        <v>30</v>
      </c>
      <c r="L125" s="18">
        <f t="shared" si="5"/>
        <v>30</v>
      </c>
      <c r="M125" s="18">
        <f t="shared" si="6"/>
        <v>2</v>
      </c>
      <c r="N125" s="19">
        <f t="shared" si="7"/>
        <v>6.6666666666666666E-2</v>
      </c>
      <c r="O125" s="1">
        <f t="shared" si="8"/>
        <v>115</v>
      </c>
    </row>
    <row r="126" spans="1:15" ht="36" customHeight="1" thickBot="1" x14ac:dyDescent="0.25">
      <c r="A126" s="407"/>
      <c r="B126" s="237" t="s">
        <v>166</v>
      </c>
      <c r="C126" s="238" t="s">
        <v>168</v>
      </c>
      <c r="D126" s="238">
        <v>6</v>
      </c>
      <c r="E126" s="238">
        <v>0.6</v>
      </c>
      <c r="F126" s="242">
        <v>1</v>
      </c>
      <c r="G126" s="240" t="s">
        <v>20</v>
      </c>
      <c r="H126" s="241" t="s">
        <v>34</v>
      </c>
      <c r="I126" s="242">
        <v>2018</v>
      </c>
      <c r="J126" s="243">
        <f t="shared" si="9"/>
        <v>360</v>
      </c>
      <c r="K126" s="243">
        <v>30</v>
      </c>
      <c r="L126" s="48">
        <f t="shared" si="5"/>
        <v>30</v>
      </c>
      <c r="M126" s="48">
        <f t="shared" si="6"/>
        <v>7</v>
      </c>
      <c r="N126" s="33">
        <f t="shared" si="7"/>
        <v>0.23333333333333334</v>
      </c>
      <c r="O126" s="1">
        <f t="shared" si="8"/>
        <v>116</v>
      </c>
    </row>
    <row r="127" spans="1:15" ht="28.5" customHeight="1" x14ac:dyDescent="0.2">
      <c r="A127" s="406">
        <v>14</v>
      </c>
      <c r="B127" s="244" t="s">
        <v>169</v>
      </c>
      <c r="C127" s="246">
        <v>25</v>
      </c>
      <c r="D127" s="246">
        <v>0.4</v>
      </c>
      <c r="E127" s="245">
        <v>0.35</v>
      </c>
      <c r="F127" s="245">
        <v>1</v>
      </c>
      <c r="G127" s="248" t="s">
        <v>46</v>
      </c>
      <c r="H127" s="253" t="s">
        <v>170</v>
      </c>
      <c r="I127" s="245">
        <v>2020</v>
      </c>
      <c r="J127" s="250">
        <f t="shared" si="9"/>
        <v>360</v>
      </c>
      <c r="K127" s="250">
        <v>30</v>
      </c>
      <c r="L127" s="42">
        <f t="shared" si="5"/>
        <v>30</v>
      </c>
      <c r="M127" s="42">
        <f t="shared" si="6"/>
        <v>5</v>
      </c>
      <c r="N127" s="43">
        <f t="shared" si="7"/>
        <v>0.16666666666666666</v>
      </c>
      <c r="O127" s="1">
        <f t="shared" si="8"/>
        <v>117</v>
      </c>
    </row>
    <row r="128" spans="1:15" ht="25.5" x14ac:dyDescent="0.2">
      <c r="A128" s="409"/>
      <c r="B128" s="254" t="s">
        <v>171</v>
      </c>
      <c r="C128" s="255">
        <v>4</v>
      </c>
      <c r="D128" s="229">
        <v>0.4</v>
      </c>
      <c r="E128" s="228">
        <f>0.69/2</f>
        <v>0.34499999999999997</v>
      </c>
      <c r="F128" s="228">
        <v>1</v>
      </c>
      <c r="G128" s="230" t="s">
        <v>46</v>
      </c>
      <c r="H128" s="256" t="s">
        <v>172</v>
      </c>
      <c r="I128" s="228">
        <v>2020</v>
      </c>
      <c r="J128" s="232">
        <f t="shared" si="9"/>
        <v>360</v>
      </c>
      <c r="K128" s="232">
        <v>30</v>
      </c>
      <c r="L128" s="18">
        <f t="shared" si="5"/>
        <v>30</v>
      </c>
      <c r="M128" s="18">
        <f t="shared" si="6"/>
        <v>5</v>
      </c>
      <c r="N128" s="19">
        <f t="shared" si="7"/>
        <v>0.16666666666666666</v>
      </c>
      <c r="O128" s="1">
        <f t="shared" si="8"/>
        <v>118</v>
      </c>
    </row>
    <row r="129" spans="1:15" ht="25.5" x14ac:dyDescent="0.2">
      <c r="A129" s="409"/>
      <c r="B129" s="254" t="s">
        <v>171</v>
      </c>
      <c r="C129" s="255">
        <v>20</v>
      </c>
      <c r="D129" s="229">
        <v>0.4</v>
      </c>
      <c r="E129" s="228">
        <v>0.34499999999999997</v>
      </c>
      <c r="F129" s="228">
        <v>1</v>
      </c>
      <c r="G129" s="230" t="s">
        <v>46</v>
      </c>
      <c r="H129" s="256" t="s">
        <v>172</v>
      </c>
      <c r="I129" s="228">
        <v>2020</v>
      </c>
      <c r="J129" s="232">
        <f t="shared" si="9"/>
        <v>360</v>
      </c>
      <c r="K129" s="232">
        <v>30</v>
      </c>
      <c r="L129" s="18">
        <f>J129/12</f>
        <v>30</v>
      </c>
      <c r="M129" s="18">
        <f>O$3-I129</f>
        <v>5</v>
      </c>
      <c r="N129" s="19">
        <f>M129/K129</f>
        <v>0.16666666666666666</v>
      </c>
      <c r="O129" s="1">
        <f t="shared" si="8"/>
        <v>119</v>
      </c>
    </row>
    <row r="130" spans="1:15" x14ac:dyDescent="0.2">
      <c r="A130" s="409"/>
      <c r="B130" s="61" t="s">
        <v>173</v>
      </c>
      <c r="C130" s="51">
        <v>15</v>
      </c>
      <c r="D130" s="12">
        <v>0.4</v>
      </c>
      <c r="E130" s="13">
        <v>0.34</v>
      </c>
      <c r="F130" s="13">
        <v>1</v>
      </c>
      <c r="G130" s="14" t="s">
        <v>174</v>
      </c>
      <c r="H130" s="62" t="s">
        <v>175</v>
      </c>
      <c r="I130" s="11">
        <v>1991</v>
      </c>
      <c r="J130" s="16">
        <f t="shared" si="9"/>
        <v>360</v>
      </c>
      <c r="K130" s="16">
        <v>30</v>
      </c>
      <c r="L130" s="17">
        <f t="shared" si="5"/>
        <v>30</v>
      </c>
      <c r="M130" s="17">
        <f t="shared" si="6"/>
        <v>34</v>
      </c>
      <c r="N130" s="19">
        <f t="shared" si="7"/>
        <v>1.1333333333333333</v>
      </c>
      <c r="O130" s="1">
        <f t="shared" si="8"/>
        <v>120</v>
      </c>
    </row>
    <row r="131" spans="1:15" x14ac:dyDescent="0.2">
      <c r="A131" s="409"/>
      <c r="B131" s="61" t="s">
        <v>176</v>
      </c>
      <c r="C131" s="51">
        <v>6</v>
      </c>
      <c r="D131" s="12">
        <v>0.4</v>
      </c>
      <c r="E131" s="13">
        <v>0.3</v>
      </c>
      <c r="F131" s="13">
        <v>1</v>
      </c>
      <c r="G131" s="14" t="s">
        <v>177</v>
      </c>
      <c r="H131" s="62" t="s">
        <v>175</v>
      </c>
      <c r="I131" s="11">
        <v>1988</v>
      </c>
      <c r="J131" s="16">
        <f t="shared" si="9"/>
        <v>360</v>
      </c>
      <c r="K131" s="16">
        <v>30</v>
      </c>
      <c r="L131" s="17">
        <f t="shared" si="5"/>
        <v>30</v>
      </c>
      <c r="M131" s="17">
        <f t="shared" si="6"/>
        <v>37</v>
      </c>
      <c r="N131" s="19">
        <f t="shared" si="7"/>
        <v>1.2333333333333334</v>
      </c>
      <c r="O131" s="1">
        <f t="shared" si="8"/>
        <v>121</v>
      </c>
    </row>
    <row r="132" spans="1:15" x14ac:dyDescent="0.2">
      <c r="A132" s="409"/>
      <c r="B132" s="61" t="s">
        <v>176</v>
      </c>
      <c r="C132" s="51">
        <v>16</v>
      </c>
      <c r="D132" s="12">
        <v>0.4</v>
      </c>
      <c r="E132" s="13">
        <v>0.4</v>
      </c>
      <c r="F132" s="13">
        <v>1</v>
      </c>
      <c r="G132" s="14" t="s">
        <v>51</v>
      </c>
      <c r="H132" s="62" t="s">
        <v>175</v>
      </c>
      <c r="I132" s="11">
        <v>1988</v>
      </c>
      <c r="J132" s="16">
        <f t="shared" si="9"/>
        <v>360</v>
      </c>
      <c r="K132" s="16">
        <v>30</v>
      </c>
      <c r="L132" s="17">
        <f t="shared" si="5"/>
        <v>30</v>
      </c>
      <c r="M132" s="17">
        <f t="shared" si="6"/>
        <v>37</v>
      </c>
      <c r="N132" s="19">
        <f t="shared" si="7"/>
        <v>1.2333333333333334</v>
      </c>
      <c r="O132" s="1">
        <f t="shared" si="8"/>
        <v>122</v>
      </c>
    </row>
    <row r="133" spans="1:15" x14ac:dyDescent="0.2">
      <c r="A133" s="409"/>
      <c r="B133" s="61" t="s">
        <v>178</v>
      </c>
      <c r="C133" s="51">
        <v>8</v>
      </c>
      <c r="D133" s="12">
        <v>0.4</v>
      </c>
      <c r="E133" s="13">
        <v>0.25</v>
      </c>
      <c r="F133" s="55">
        <v>1</v>
      </c>
      <c r="G133" s="14" t="s">
        <v>58</v>
      </c>
      <c r="H133" s="62" t="s">
        <v>175</v>
      </c>
      <c r="I133" s="11">
        <v>1988</v>
      </c>
      <c r="J133" s="16">
        <f t="shared" si="9"/>
        <v>360</v>
      </c>
      <c r="K133" s="16">
        <v>30</v>
      </c>
      <c r="L133" s="17">
        <f t="shared" si="5"/>
        <v>30</v>
      </c>
      <c r="M133" s="17">
        <f t="shared" si="6"/>
        <v>37</v>
      </c>
      <c r="N133" s="19">
        <f t="shared" si="7"/>
        <v>1.2333333333333334</v>
      </c>
      <c r="O133" s="1">
        <f t="shared" si="8"/>
        <v>123</v>
      </c>
    </row>
    <row r="134" spans="1:15" x14ac:dyDescent="0.2">
      <c r="A134" s="409"/>
      <c r="B134" s="61" t="s">
        <v>178</v>
      </c>
      <c r="C134" s="51">
        <v>18</v>
      </c>
      <c r="D134" s="12">
        <v>0.4</v>
      </c>
      <c r="E134" s="13">
        <v>0.25</v>
      </c>
      <c r="F134" s="55">
        <v>1</v>
      </c>
      <c r="G134" s="14" t="s">
        <v>58</v>
      </c>
      <c r="H134" s="62" t="s">
        <v>175</v>
      </c>
      <c r="I134" s="11">
        <v>1988</v>
      </c>
      <c r="J134" s="16">
        <f t="shared" si="9"/>
        <v>360</v>
      </c>
      <c r="K134" s="16">
        <v>30</v>
      </c>
      <c r="L134" s="17">
        <f>J134/12</f>
        <v>30</v>
      </c>
      <c r="M134" s="17">
        <f>O$3-I134</f>
        <v>37</v>
      </c>
      <c r="N134" s="19">
        <f>M134/K134</f>
        <v>1.2333333333333334</v>
      </c>
      <c r="O134" s="1">
        <f t="shared" si="8"/>
        <v>124</v>
      </c>
    </row>
    <row r="135" spans="1:15" ht="28.5" customHeight="1" x14ac:dyDescent="0.2">
      <c r="A135" s="409"/>
      <c r="B135" s="61" t="s">
        <v>179</v>
      </c>
      <c r="C135" s="51">
        <v>7</v>
      </c>
      <c r="D135" s="12">
        <v>0.4</v>
      </c>
      <c r="E135" s="13">
        <v>0.25</v>
      </c>
      <c r="F135" s="55">
        <v>1</v>
      </c>
      <c r="G135" s="14" t="s">
        <v>180</v>
      </c>
      <c r="H135" s="62" t="s">
        <v>175</v>
      </c>
      <c r="I135" s="11">
        <v>1991</v>
      </c>
      <c r="J135" s="16">
        <f t="shared" si="9"/>
        <v>360</v>
      </c>
      <c r="K135" s="16">
        <v>30</v>
      </c>
      <c r="L135" s="17">
        <f t="shared" si="5"/>
        <v>30</v>
      </c>
      <c r="M135" s="17">
        <f t="shared" si="6"/>
        <v>34</v>
      </c>
      <c r="N135" s="19">
        <f t="shared" si="7"/>
        <v>1.1333333333333333</v>
      </c>
      <c r="O135" s="1">
        <f t="shared" si="8"/>
        <v>125</v>
      </c>
    </row>
    <row r="136" spans="1:15" ht="28.5" customHeight="1" x14ac:dyDescent="0.2">
      <c r="A136" s="409"/>
      <c r="B136" s="254" t="s">
        <v>179</v>
      </c>
      <c r="C136" s="229" t="s">
        <v>699</v>
      </c>
      <c r="D136" s="229">
        <v>0.4</v>
      </c>
      <c r="E136" s="228">
        <v>5.5E-2</v>
      </c>
      <c r="F136" s="346">
        <v>1</v>
      </c>
      <c r="G136" s="230" t="s">
        <v>698</v>
      </c>
      <c r="H136" s="256" t="s">
        <v>175</v>
      </c>
      <c r="I136" s="228">
        <v>2025</v>
      </c>
      <c r="J136" s="232">
        <f t="shared" si="9"/>
        <v>360</v>
      </c>
      <c r="K136" s="232">
        <v>30</v>
      </c>
      <c r="L136" s="18">
        <f t="shared" ref="L136" si="10">J136/12</f>
        <v>30</v>
      </c>
      <c r="M136" s="18">
        <f t="shared" ref="M136" si="11">O$3-I136</f>
        <v>0</v>
      </c>
      <c r="N136" s="345">
        <f t="shared" ref="N136" si="12">M136/K136</f>
        <v>0</v>
      </c>
      <c r="O136" s="1">
        <f t="shared" si="8"/>
        <v>126</v>
      </c>
    </row>
    <row r="137" spans="1:15" ht="39" customHeight="1" x14ac:dyDescent="0.2">
      <c r="A137" s="409"/>
      <c r="B137" s="61" t="s">
        <v>181</v>
      </c>
      <c r="C137" s="51">
        <v>11</v>
      </c>
      <c r="D137" s="12">
        <v>0.4</v>
      </c>
      <c r="E137" s="13">
        <v>6.5000000000000002E-2</v>
      </c>
      <c r="F137" s="55">
        <v>1</v>
      </c>
      <c r="G137" s="14" t="s">
        <v>182</v>
      </c>
      <c r="H137" s="15" t="s">
        <v>52</v>
      </c>
      <c r="I137" s="11">
        <v>1995</v>
      </c>
      <c r="J137" s="16">
        <f t="shared" si="9"/>
        <v>360</v>
      </c>
      <c r="K137" s="16">
        <v>30</v>
      </c>
      <c r="L137" s="17">
        <f t="shared" si="5"/>
        <v>30</v>
      </c>
      <c r="M137" s="17">
        <f t="shared" si="6"/>
        <v>30</v>
      </c>
      <c r="N137" s="19">
        <f t="shared" si="7"/>
        <v>1</v>
      </c>
      <c r="O137" s="1">
        <f t="shared" si="8"/>
        <v>127</v>
      </c>
    </row>
    <row r="138" spans="1:15" ht="25.5" customHeight="1" x14ac:dyDescent="0.2">
      <c r="A138" s="409"/>
      <c r="B138" s="61" t="s">
        <v>183</v>
      </c>
      <c r="C138" s="51">
        <v>5</v>
      </c>
      <c r="D138" s="12">
        <v>0.4</v>
      </c>
      <c r="E138" s="51">
        <f>0.64/2</f>
        <v>0.32</v>
      </c>
      <c r="F138" s="51">
        <v>1</v>
      </c>
      <c r="G138" s="14" t="s">
        <v>83</v>
      </c>
      <c r="H138" s="15" t="s">
        <v>184</v>
      </c>
      <c r="I138" s="11">
        <v>1994</v>
      </c>
      <c r="J138" s="16">
        <f t="shared" si="9"/>
        <v>360</v>
      </c>
      <c r="K138" s="16">
        <v>30</v>
      </c>
      <c r="L138" s="17">
        <f t="shared" si="5"/>
        <v>30</v>
      </c>
      <c r="M138" s="17">
        <f t="shared" si="6"/>
        <v>31</v>
      </c>
      <c r="N138" s="19">
        <f t="shared" si="7"/>
        <v>1.0333333333333334</v>
      </c>
      <c r="O138" s="1">
        <f t="shared" si="8"/>
        <v>128</v>
      </c>
    </row>
    <row r="139" spans="1:15" ht="25.5" customHeight="1" x14ac:dyDescent="0.2">
      <c r="A139" s="409"/>
      <c r="B139" s="61" t="s">
        <v>183</v>
      </c>
      <c r="C139" s="51">
        <v>23</v>
      </c>
      <c r="D139" s="12">
        <v>0.4</v>
      </c>
      <c r="E139" s="51">
        <v>0.32</v>
      </c>
      <c r="F139" s="51">
        <v>1</v>
      </c>
      <c r="G139" s="14" t="s">
        <v>83</v>
      </c>
      <c r="H139" s="15" t="s">
        <v>184</v>
      </c>
      <c r="I139" s="11">
        <v>1994</v>
      </c>
      <c r="J139" s="16">
        <f t="shared" si="9"/>
        <v>360</v>
      </c>
      <c r="K139" s="16">
        <v>30</v>
      </c>
      <c r="L139" s="17">
        <f>J139/12</f>
        <v>30</v>
      </c>
      <c r="M139" s="17">
        <f>O$3-I139</f>
        <v>31</v>
      </c>
      <c r="N139" s="19">
        <f>M139/K139</f>
        <v>1.0333333333333334</v>
      </c>
      <c r="O139" s="1">
        <f t="shared" si="8"/>
        <v>129</v>
      </c>
    </row>
    <row r="140" spans="1:15" x14ac:dyDescent="0.2">
      <c r="A140" s="409"/>
      <c r="B140" s="61" t="s">
        <v>185</v>
      </c>
      <c r="C140" s="51">
        <v>3</v>
      </c>
      <c r="D140" s="12">
        <v>0.4</v>
      </c>
      <c r="E140" s="51">
        <v>0.12</v>
      </c>
      <c r="F140" s="51">
        <v>1</v>
      </c>
      <c r="G140" s="14" t="s">
        <v>177</v>
      </c>
      <c r="H140" s="62" t="s">
        <v>175</v>
      </c>
      <c r="I140" s="11">
        <v>1990</v>
      </c>
      <c r="J140" s="16">
        <f t="shared" si="9"/>
        <v>360</v>
      </c>
      <c r="K140" s="16">
        <v>30</v>
      </c>
      <c r="L140" s="17">
        <f t="shared" si="5"/>
        <v>30</v>
      </c>
      <c r="M140" s="17">
        <f t="shared" si="6"/>
        <v>35</v>
      </c>
      <c r="N140" s="19">
        <f t="shared" si="7"/>
        <v>1.1666666666666667</v>
      </c>
      <c r="O140" s="1">
        <f t="shared" si="8"/>
        <v>130</v>
      </c>
    </row>
    <row r="141" spans="1:15" x14ac:dyDescent="0.2">
      <c r="A141" s="409"/>
      <c r="B141" s="61" t="s">
        <v>185</v>
      </c>
      <c r="C141" s="51">
        <v>17</v>
      </c>
      <c r="D141" s="12">
        <v>0.4</v>
      </c>
      <c r="E141" s="51">
        <v>0.12</v>
      </c>
      <c r="F141" s="51">
        <v>1</v>
      </c>
      <c r="G141" s="14" t="s">
        <v>177</v>
      </c>
      <c r="H141" s="62" t="s">
        <v>175</v>
      </c>
      <c r="I141" s="11">
        <v>1990</v>
      </c>
      <c r="J141" s="16">
        <f t="shared" si="9"/>
        <v>360</v>
      </c>
      <c r="K141" s="16">
        <v>30</v>
      </c>
      <c r="L141" s="17">
        <f>J141/12</f>
        <v>30</v>
      </c>
      <c r="M141" s="17">
        <f>O$3-I141</f>
        <v>35</v>
      </c>
      <c r="N141" s="19">
        <f>M141/K141</f>
        <v>1.1666666666666667</v>
      </c>
      <c r="O141" s="1">
        <f t="shared" ref="O141:O205" si="13">O140+1</f>
        <v>131</v>
      </c>
    </row>
    <row r="142" spans="1:15" x14ac:dyDescent="0.2">
      <c r="A142" s="409"/>
      <c r="B142" s="61" t="s">
        <v>186</v>
      </c>
      <c r="C142" s="51">
        <v>12</v>
      </c>
      <c r="D142" s="12">
        <v>0.4</v>
      </c>
      <c r="E142" s="51">
        <f>0.36/2</f>
        <v>0.18</v>
      </c>
      <c r="F142" s="51">
        <v>1</v>
      </c>
      <c r="G142" s="14" t="s">
        <v>177</v>
      </c>
      <c r="H142" s="62" t="s">
        <v>175</v>
      </c>
      <c r="I142" s="11">
        <v>1988</v>
      </c>
      <c r="J142" s="16">
        <f t="shared" si="9"/>
        <v>360</v>
      </c>
      <c r="K142" s="16">
        <v>30</v>
      </c>
      <c r="L142" s="17">
        <f t="shared" si="5"/>
        <v>30</v>
      </c>
      <c r="M142" s="17">
        <f t="shared" si="6"/>
        <v>37</v>
      </c>
      <c r="N142" s="19">
        <f t="shared" si="7"/>
        <v>1.2333333333333334</v>
      </c>
      <c r="O142" s="1">
        <f t="shared" si="13"/>
        <v>132</v>
      </c>
    </row>
    <row r="143" spans="1:15" x14ac:dyDescent="0.2">
      <c r="A143" s="410"/>
      <c r="B143" s="61" t="s">
        <v>186</v>
      </c>
      <c r="C143" s="51">
        <v>21</v>
      </c>
      <c r="D143" s="12">
        <v>0.4</v>
      </c>
      <c r="E143" s="51">
        <v>0.18</v>
      </c>
      <c r="F143" s="51">
        <v>1</v>
      </c>
      <c r="G143" s="14" t="s">
        <v>177</v>
      </c>
      <c r="H143" s="62" t="s">
        <v>175</v>
      </c>
      <c r="I143" s="11">
        <v>1988</v>
      </c>
      <c r="J143" s="16">
        <f t="shared" si="9"/>
        <v>360</v>
      </c>
      <c r="K143" s="16">
        <v>30</v>
      </c>
      <c r="L143" s="17">
        <f>J143/12</f>
        <v>30</v>
      </c>
      <c r="M143" s="17">
        <f>O$3-I143</f>
        <v>37</v>
      </c>
      <c r="N143" s="19">
        <f>M143/K143</f>
        <v>1.2333333333333334</v>
      </c>
      <c r="O143" s="1">
        <f t="shared" si="13"/>
        <v>133</v>
      </c>
    </row>
    <row r="144" spans="1:15" x14ac:dyDescent="0.2">
      <c r="A144" s="410"/>
      <c r="B144" s="61" t="s">
        <v>187</v>
      </c>
      <c r="C144" s="51">
        <v>19</v>
      </c>
      <c r="D144" s="12">
        <v>0.4</v>
      </c>
      <c r="E144" s="51">
        <f>0.62/2</f>
        <v>0.31</v>
      </c>
      <c r="F144" s="51">
        <v>1</v>
      </c>
      <c r="G144" s="14" t="s">
        <v>177</v>
      </c>
      <c r="H144" s="62" t="s">
        <v>175</v>
      </c>
      <c r="I144" s="11">
        <v>1993</v>
      </c>
      <c r="J144" s="16">
        <f t="shared" si="9"/>
        <v>360</v>
      </c>
      <c r="K144" s="16">
        <v>30</v>
      </c>
      <c r="L144" s="17">
        <f>J144/12</f>
        <v>30</v>
      </c>
      <c r="M144" s="17">
        <f>O$3-I144</f>
        <v>32</v>
      </c>
      <c r="N144" s="19">
        <f>M144/K144</f>
        <v>1.0666666666666667</v>
      </c>
      <c r="O144" s="1">
        <f t="shared" si="13"/>
        <v>134</v>
      </c>
    </row>
    <row r="145" spans="1:15" ht="13.5" thickBot="1" x14ac:dyDescent="0.25">
      <c r="A145" s="407"/>
      <c r="B145" s="63" t="s">
        <v>187</v>
      </c>
      <c r="C145" s="46">
        <v>19</v>
      </c>
      <c r="D145" s="27">
        <v>0.4</v>
      </c>
      <c r="E145" s="46">
        <v>0.31</v>
      </c>
      <c r="F145" s="46">
        <v>1</v>
      </c>
      <c r="G145" s="29" t="s">
        <v>177</v>
      </c>
      <c r="H145" s="64" t="s">
        <v>175</v>
      </c>
      <c r="I145" s="26">
        <v>1993</v>
      </c>
      <c r="J145" s="31">
        <f t="shared" si="9"/>
        <v>360</v>
      </c>
      <c r="K145" s="31">
        <v>30</v>
      </c>
      <c r="L145" s="32">
        <f t="shared" si="5"/>
        <v>30</v>
      </c>
      <c r="M145" s="32">
        <f t="shared" si="6"/>
        <v>32</v>
      </c>
      <c r="N145" s="33">
        <f t="shared" si="7"/>
        <v>1.0666666666666667</v>
      </c>
      <c r="O145" s="1">
        <f t="shared" si="13"/>
        <v>135</v>
      </c>
    </row>
    <row r="146" spans="1:15" x14ac:dyDescent="0.2">
      <c r="A146" s="398">
        <v>15</v>
      </c>
      <c r="B146" s="288" t="s">
        <v>188</v>
      </c>
      <c r="C146" s="278">
        <v>11</v>
      </c>
      <c r="D146" s="278">
        <v>0.4</v>
      </c>
      <c r="E146" s="278">
        <v>0.21</v>
      </c>
      <c r="F146" s="278">
        <v>1</v>
      </c>
      <c r="G146" s="364" t="s">
        <v>189</v>
      </c>
      <c r="H146" s="365" t="s">
        <v>175</v>
      </c>
      <c r="I146" s="278">
        <v>2007</v>
      </c>
      <c r="J146" s="281">
        <f t="shared" si="9"/>
        <v>360</v>
      </c>
      <c r="K146" s="281">
        <v>30</v>
      </c>
      <c r="L146" s="282">
        <f t="shared" si="5"/>
        <v>30</v>
      </c>
      <c r="M146" s="282">
        <f t="shared" si="6"/>
        <v>18</v>
      </c>
      <c r="N146" s="43">
        <f t="shared" si="7"/>
        <v>0.6</v>
      </c>
      <c r="O146" s="1">
        <f t="shared" si="13"/>
        <v>136</v>
      </c>
    </row>
    <row r="147" spans="1:15" x14ac:dyDescent="0.2">
      <c r="A147" s="403"/>
      <c r="B147" s="10" t="s">
        <v>190</v>
      </c>
      <c r="C147" s="13">
        <v>4</v>
      </c>
      <c r="D147" s="11">
        <v>0.4</v>
      </c>
      <c r="E147" s="13">
        <v>0.23</v>
      </c>
      <c r="F147" s="13">
        <v>1</v>
      </c>
      <c r="G147" s="24" t="s">
        <v>191</v>
      </c>
      <c r="H147" s="62" t="s">
        <v>175</v>
      </c>
      <c r="I147" s="11">
        <v>1988</v>
      </c>
      <c r="J147" s="16">
        <f t="shared" si="9"/>
        <v>360</v>
      </c>
      <c r="K147" s="16">
        <v>30</v>
      </c>
      <c r="L147" s="17">
        <f t="shared" si="5"/>
        <v>30</v>
      </c>
      <c r="M147" s="17">
        <f t="shared" si="6"/>
        <v>37</v>
      </c>
      <c r="N147" s="19">
        <f t="shared" si="7"/>
        <v>1.2333333333333334</v>
      </c>
      <c r="O147" s="1">
        <f t="shared" si="13"/>
        <v>137</v>
      </c>
    </row>
    <row r="148" spans="1:15" x14ac:dyDescent="0.2">
      <c r="A148" s="403"/>
      <c r="B148" s="10" t="s">
        <v>190</v>
      </c>
      <c r="C148" s="13">
        <v>22</v>
      </c>
      <c r="D148" s="11">
        <v>0.4</v>
      </c>
      <c r="E148" s="13">
        <v>0.23</v>
      </c>
      <c r="F148" s="13">
        <v>1</v>
      </c>
      <c r="G148" s="24" t="s">
        <v>191</v>
      </c>
      <c r="H148" s="62" t="s">
        <v>175</v>
      </c>
      <c r="I148" s="11">
        <v>1988</v>
      </c>
      <c r="J148" s="16">
        <f t="shared" si="9"/>
        <v>360</v>
      </c>
      <c r="K148" s="16">
        <v>30</v>
      </c>
      <c r="L148" s="17">
        <f>J148/12</f>
        <v>30</v>
      </c>
      <c r="M148" s="17">
        <f>O$3-I148</f>
        <v>37</v>
      </c>
      <c r="N148" s="19">
        <f>M148/K148</f>
        <v>1.2333333333333334</v>
      </c>
      <c r="O148" s="1">
        <f t="shared" si="13"/>
        <v>138</v>
      </c>
    </row>
    <row r="149" spans="1:15" x14ac:dyDescent="0.2">
      <c r="A149" s="403"/>
      <c r="B149" s="262" t="s">
        <v>192</v>
      </c>
      <c r="C149" s="263">
        <v>9</v>
      </c>
      <c r="D149" s="263">
        <v>0.4</v>
      </c>
      <c r="E149" s="263">
        <v>0.14499999999999999</v>
      </c>
      <c r="F149" s="263">
        <v>1</v>
      </c>
      <c r="G149" s="289" t="s">
        <v>189</v>
      </c>
      <c r="H149" s="366" t="s">
        <v>175</v>
      </c>
      <c r="I149" s="263">
        <v>2007</v>
      </c>
      <c r="J149" s="266">
        <f t="shared" si="9"/>
        <v>360</v>
      </c>
      <c r="K149" s="266">
        <v>30</v>
      </c>
      <c r="L149" s="267">
        <f t="shared" si="5"/>
        <v>30</v>
      </c>
      <c r="M149" s="267">
        <f t="shared" si="6"/>
        <v>18</v>
      </c>
      <c r="N149" s="19">
        <f t="shared" si="7"/>
        <v>0.6</v>
      </c>
      <c r="O149" s="1">
        <f t="shared" si="13"/>
        <v>139</v>
      </c>
    </row>
    <row r="150" spans="1:15" x14ac:dyDescent="0.2">
      <c r="A150" s="403"/>
      <c r="B150" s="10" t="s">
        <v>193</v>
      </c>
      <c r="C150" s="13">
        <v>10</v>
      </c>
      <c r="D150" s="11">
        <v>0.4</v>
      </c>
      <c r="E150" s="13">
        <v>0.06</v>
      </c>
      <c r="F150" s="13">
        <v>1</v>
      </c>
      <c r="G150" s="24" t="s">
        <v>194</v>
      </c>
      <c r="H150" s="62" t="s">
        <v>175</v>
      </c>
      <c r="I150" s="11">
        <v>1988</v>
      </c>
      <c r="J150" s="16">
        <f t="shared" si="9"/>
        <v>360</v>
      </c>
      <c r="K150" s="16">
        <v>30</v>
      </c>
      <c r="L150" s="17">
        <f t="shared" si="5"/>
        <v>30</v>
      </c>
      <c r="M150" s="17">
        <f t="shared" si="6"/>
        <v>37</v>
      </c>
      <c r="N150" s="19">
        <f t="shared" si="7"/>
        <v>1.2333333333333334</v>
      </c>
      <c r="O150" s="1">
        <f t="shared" si="13"/>
        <v>140</v>
      </c>
    </row>
    <row r="151" spans="1:15" x14ac:dyDescent="0.2">
      <c r="A151" s="403"/>
      <c r="B151" s="10" t="s">
        <v>193</v>
      </c>
      <c r="C151" s="13">
        <v>16</v>
      </c>
      <c r="D151" s="11">
        <v>0.4</v>
      </c>
      <c r="E151" s="13">
        <v>0.06</v>
      </c>
      <c r="F151" s="13">
        <v>1</v>
      </c>
      <c r="G151" s="24" t="s">
        <v>194</v>
      </c>
      <c r="H151" s="62" t="s">
        <v>175</v>
      </c>
      <c r="I151" s="11">
        <v>1988</v>
      </c>
      <c r="J151" s="16">
        <f t="shared" si="9"/>
        <v>360</v>
      </c>
      <c r="K151" s="16">
        <v>30</v>
      </c>
      <c r="L151" s="17">
        <f>J151/12</f>
        <v>30</v>
      </c>
      <c r="M151" s="17">
        <f>O$3-I151</f>
        <v>37</v>
      </c>
      <c r="N151" s="19">
        <f>M151/K151</f>
        <v>1.2333333333333334</v>
      </c>
      <c r="O151" s="1">
        <f t="shared" si="13"/>
        <v>141</v>
      </c>
    </row>
    <row r="152" spans="1:15" x14ac:dyDescent="0.2">
      <c r="A152" s="403"/>
      <c r="B152" s="10" t="s">
        <v>195</v>
      </c>
      <c r="C152" s="13">
        <v>8</v>
      </c>
      <c r="D152" s="11">
        <v>0.4</v>
      </c>
      <c r="E152" s="13">
        <v>0.1</v>
      </c>
      <c r="F152" s="13">
        <v>1</v>
      </c>
      <c r="G152" s="24" t="s">
        <v>194</v>
      </c>
      <c r="H152" s="62" t="s">
        <v>175</v>
      </c>
      <c r="I152" s="11">
        <v>1988</v>
      </c>
      <c r="J152" s="16">
        <f t="shared" si="9"/>
        <v>360</v>
      </c>
      <c r="K152" s="16">
        <v>30</v>
      </c>
      <c r="L152" s="17">
        <f t="shared" si="5"/>
        <v>30</v>
      </c>
      <c r="M152" s="17">
        <f t="shared" si="6"/>
        <v>37</v>
      </c>
      <c r="N152" s="19">
        <f t="shared" si="7"/>
        <v>1.2333333333333334</v>
      </c>
      <c r="O152" s="1">
        <f t="shared" si="13"/>
        <v>142</v>
      </c>
    </row>
    <row r="153" spans="1:15" x14ac:dyDescent="0.2">
      <c r="A153" s="403"/>
      <c r="B153" s="10" t="s">
        <v>195</v>
      </c>
      <c r="C153" s="13">
        <v>18</v>
      </c>
      <c r="D153" s="11">
        <v>0.4</v>
      </c>
      <c r="E153" s="13">
        <v>0.1</v>
      </c>
      <c r="F153" s="13">
        <v>1</v>
      </c>
      <c r="G153" s="24" t="s">
        <v>194</v>
      </c>
      <c r="H153" s="62" t="s">
        <v>175</v>
      </c>
      <c r="I153" s="11">
        <v>1988</v>
      </c>
      <c r="J153" s="16">
        <f t="shared" si="9"/>
        <v>360</v>
      </c>
      <c r="K153" s="16">
        <v>30</v>
      </c>
      <c r="L153" s="17">
        <f>J153/12</f>
        <v>30</v>
      </c>
      <c r="M153" s="17">
        <f>O$3-I153</f>
        <v>37</v>
      </c>
      <c r="N153" s="19">
        <f>M153/K153</f>
        <v>1.2333333333333334</v>
      </c>
      <c r="O153" s="1">
        <f t="shared" si="13"/>
        <v>143</v>
      </c>
    </row>
    <row r="154" spans="1:15" ht="47.25" customHeight="1" x14ac:dyDescent="0.2">
      <c r="A154" s="403"/>
      <c r="B154" s="262" t="s">
        <v>196</v>
      </c>
      <c r="C154" s="263">
        <v>2</v>
      </c>
      <c r="D154" s="263">
        <v>0.4</v>
      </c>
      <c r="E154" s="263">
        <f>0.56/2</f>
        <v>0.28000000000000003</v>
      </c>
      <c r="F154" s="263">
        <v>1</v>
      </c>
      <c r="G154" s="289" t="s">
        <v>51</v>
      </c>
      <c r="H154" s="275" t="s">
        <v>52</v>
      </c>
      <c r="I154" s="263">
        <v>2010</v>
      </c>
      <c r="J154" s="266">
        <f t="shared" si="9"/>
        <v>360</v>
      </c>
      <c r="K154" s="266">
        <v>30</v>
      </c>
      <c r="L154" s="267">
        <f t="shared" si="5"/>
        <v>30</v>
      </c>
      <c r="M154" s="267">
        <f t="shared" si="6"/>
        <v>15</v>
      </c>
      <c r="N154" s="19">
        <f t="shared" si="7"/>
        <v>0.5</v>
      </c>
      <c r="O154" s="1">
        <f t="shared" si="13"/>
        <v>144</v>
      </c>
    </row>
    <row r="155" spans="1:15" ht="47.25" customHeight="1" x14ac:dyDescent="0.2">
      <c r="A155" s="403"/>
      <c r="B155" s="262" t="s">
        <v>196</v>
      </c>
      <c r="C155" s="263">
        <v>24</v>
      </c>
      <c r="D155" s="263">
        <v>0.4</v>
      </c>
      <c r="E155" s="263">
        <v>0.28000000000000003</v>
      </c>
      <c r="F155" s="263">
        <v>1</v>
      </c>
      <c r="G155" s="289" t="s">
        <v>51</v>
      </c>
      <c r="H155" s="275" t="s">
        <v>52</v>
      </c>
      <c r="I155" s="263">
        <v>2010</v>
      </c>
      <c r="J155" s="266">
        <f t="shared" si="9"/>
        <v>360</v>
      </c>
      <c r="K155" s="266">
        <v>30</v>
      </c>
      <c r="L155" s="267">
        <f>J155/12</f>
        <v>30</v>
      </c>
      <c r="M155" s="267">
        <f>O$3-I155</f>
        <v>15</v>
      </c>
      <c r="N155" s="19">
        <f>M155/K155</f>
        <v>0.5</v>
      </c>
      <c r="O155" s="1">
        <f t="shared" si="13"/>
        <v>145</v>
      </c>
    </row>
    <row r="156" spans="1:15" ht="42" customHeight="1" x14ac:dyDescent="0.2">
      <c r="A156" s="403"/>
      <c r="B156" s="10" t="s">
        <v>197</v>
      </c>
      <c r="C156" s="13">
        <v>14</v>
      </c>
      <c r="D156" s="11">
        <v>0.4</v>
      </c>
      <c r="E156" s="13">
        <v>0.185</v>
      </c>
      <c r="F156" s="13">
        <v>1</v>
      </c>
      <c r="G156" s="24" t="s">
        <v>198</v>
      </c>
      <c r="H156" s="15" t="s">
        <v>52</v>
      </c>
      <c r="I156" s="11">
        <v>1996</v>
      </c>
      <c r="J156" s="16">
        <f t="shared" si="9"/>
        <v>360</v>
      </c>
      <c r="K156" s="16">
        <v>30</v>
      </c>
      <c r="L156" s="17">
        <f t="shared" si="5"/>
        <v>30</v>
      </c>
      <c r="M156" s="17">
        <f t="shared" si="6"/>
        <v>29</v>
      </c>
      <c r="N156" s="19">
        <f t="shared" si="7"/>
        <v>0.96666666666666667</v>
      </c>
      <c r="O156" s="1">
        <f t="shared" si="13"/>
        <v>146</v>
      </c>
    </row>
    <row r="157" spans="1:15" ht="42" customHeight="1" x14ac:dyDescent="0.2">
      <c r="A157" s="403"/>
      <c r="B157" s="227" t="s">
        <v>199</v>
      </c>
      <c r="C157" s="228">
        <v>5</v>
      </c>
      <c r="D157" s="228">
        <v>0.4</v>
      </c>
      <c r="E157" s="228">
        <v>0.17</v>
      </c>
      <c r="F157" s="228">
        <v>1</v>
      </c>
      <c r="G157" s="234" t="s">
        <v>46</v>
      </c>
      <c r="H157" s="231" t="s">
        <v>52</v>
      </c>
      <c r="I157" s="228">
        <v>2018</v>
      </c>
      <c r="J157" s="232">
        <f t="shared" si="9"/>
        <v>360</v>
      </c>
      <c r="K157" s="232">
        <v>30</v>
      </c>
      <c r="L157" s="18">
        <f t="shared" ref="L157" si="14">J157/12</f>
        <v>30</v>
      </c>
      <c r="M157" s="18">
        <f t="shared" ref="M157" si="15">O$3-I157</f>
        <v>7</v>
      </c>
      <c r="N157" s="19">
        <f t="shared" ref="N157" si="16">M157/K157</f>
        <v>0.23333333333333334</v>
      </c>
      <c r="O157" s="1">
        <f t="shared" si="13"/>
        <v>147</v>
      </c>
    </row>
    <row r="158" spans="1:15" ht="42" customHeight="1" x14ac:dyDescent="0.2">
      <c r="A158" s="403"/>
      <c r="B158" s="393" t="s">
        <v>800</v>
      </c>
      <c r="C158" s="394">
        <v>3.23</v>
      </c>
      <c r="D158" s="394">
        <v>0.4</v>
      </c>
      <c r="E158" s="394">
        <f>0.185*2</f>
        <v>0.37</v>
      </c>
      <c r="F158" s="394">
        <v>2</v>
      </c>
      <c r="G158" s="395" t="s">
        <v>798</v>
      </c>
      <c r="H158" s="396" t="s">
        <v>799</v>
      </c>
      <c r="I158" s="263">
        <v>2008</v>
      </c>
      <c r="J158" s="266">
        <f t="shared" si="9"/>
        <v>360</v>
      </c>
      <c r="K158" s="266">
        <v>30</v>
      </c>
      <c r="L158" s="267">
        <f>J158/12</f>
        <v>30</v>
      </c>
      <c r="M158" s="267">
        <f>O$3-I158</f>
        <v>17</v>
      </c>
      <c r="N158" s="19">
        <f>M158/K158</f>
        <v>0.56666666666666665</v>
      </c>
    </row>
    <row r="159" spans="1:15" ht="49.5" customHeight="1" thickBot="1" x14ac:dyDescent="0.25">
      <c r="A159" s="399"/>
      <c r="B159" s="347" t="s">
        <v>700</v>
      </c>
      <c r="C159" s="242" t="s">
        <v>701</v>
      </c>
      <c r="D159" s="242">
        <v>0.4</v>
      </c>
      <c r="E159" s="242">
        <v>0.2</v>
      </c>
      <c r="F159" s="242">
        <v>1</v>
      </c>
      <c r="G159" s="257" t="s">
        <v>702</v>
      </c>
      <c r="H159" s="241" t="s">
        <v>722</v>
      </c>
      <c r="I159" s="242">
        <v>2025</v>
      </c>
      <c r="J159" s="243">
        <f t="shared" si="9"/>
        <v>360</v>
      </c>
      <c r="K159" s="243">
        <v>30</v>
      </c>
      <c r="L159" s="48">
        <f t="shared" si="5"/>
        <v>30</v>
      </c>
      <c r="M159" s="48">
        <f t="shared" si="6"/>
        <v>0</v>
      </c>
      <c r="N159" s="33">
        <f t="shared" si="7"/>
        <v>0</v>
      </c>
      <c r="O159" s="1">
        <f>O157+1</f>
        <v>148</v>
      </c>
    </row>
    <row r="160" spans="1:15" x14ac:dyDescent="0.2">
      <c r="A160" s="406">
        <v>16</v>
      </c>
      <c r="B160" s="244" t="s">
        <v>200</v>
      </c>
      <c r="C160" s="245">
        <v>9</v>
      </c>
      <c r="D160" s="245">
        <v>0.4</v>
      </c>
      <c r="E160" s="245">
        <f>0.21/2</f>
        <v>0.105</v>
      </c>
      <c r="F160" s="245">
        <v>1</v>
      </c>
      <c r="G160" s="248" t="s">
        <v>201</v>
      </c>
      <c r="H160" s="249" t="s">
        <v>34</v>
      </c>
      <c r="I160" s="245">
        <v>2015</v>
      </c>
      <c r="J160" s="250">
        <f t="shared" si="9"/>
        <v>360</v>
      </c>
      <c r="K160" s="250">
        <v>30</v>
      </c>
      <c r="L160" s="42">
        <f t="shared" si="5"/>
        <v>30</v>
      </c>
      <c r="M160" s="42">
        <f t="shared" si="6"/>
        <v>10</v>
      </c>
      <c r="N160" s="43">
        <f t="shared" si="7"/>
        <v>0.33333333333333331</v>
      </c>
      <c r="O160" s="1">
        <f t="shared" si="13"/>
        <v>149</v>
      </c>
    </row>
    <row r="161" spans="1:15" x14ac:dyDescent="0.2">
      <c r="A161" s="408"/>
      <c r="B161" s="227" t="s">
        <v>200</v>
      </c>
      <c r="C161" s="228">
        <v>16</v>
      </c>
      <c r="D161" s="228">
        <v>0.4</v>
      </c>
      <c r="E161" s="228">
        <v>0.105</v>
      </c>
      <c r="F161" s="228">
        <v>1</v>
      </c>
      <c r="G161" s="230" t="s">
        <v>201</v>
      </c>
      <c r="H161" s="231" t="s">
        <v>34</v>
      </c>
      <c r="I161" s="228">
        <v>2015</v>
      </c>
      <c r="J161" s="232">
        <f t="shared" si="9"/>
        <v>360</v>
      </c>
      <c r="K161" s="232">
        <v>30</v>
      </c>
      <c r="L161" s="18">
        <f>J161/12</f>
        <v>30</v>
      </c>
      <c r="M161" s="18">
        <f>O$3-I161</f>
        <v>10</v>
      </c>
      <c r="N161" s="19">
        <f>M161/K161</f>
        <v>0.33333333333333331</v>
      </c>
      <c r="O161" s="1">
        <f t="shared" si="13"/>
        <v>150</v>
      </c>
    </row>
    <row r="162" spans="1:15" x14ac:dyDescent="0.2">
      <c r="A162" s="409"/>
      <c r="B162" s="227" t="s">
        <v>202</v>
      </c>
      <c r="C162" s="228">
        <v>6</v>
      </c>
      <c r="D162" s="228">
        <v>0.4</v>
      </c>
      <c r="E162" s="228">
        <f>0.27/2</f>
        <v>0.13500000000000001</v>
      </c>
      <c r="F162" s="228">
        <v>1</v>
      </c>
      <c r="G162" s="230" t="s">
        <v>203</v>
      </c>
      <c r="H162" s="231" t="s">
        <v>34</v>
      </c>
      <c r="I162" s="228">
        <v>2015</v>
      </c>
      <c r="J162" s="232">
        <f t="shared" si="9"/>
        <v>360</v>
      </c>
      <c r="K162" s="232">
        <v>30</v>
      </c>
      <c r="L162" s="18">
        <f t="shared" si="5"/>
        <v>30</v>
      </c>
      <c r="M162" s="18">
        <f t="shared" si="6"/>
        <v>10</v>
      </c>
      <c r="N162" s="19">
        <f t="shared" si="7"/>
        <v>0.33333333333333331</v>
      </c>
      <c r="O162" s="1">
        <f t="shared" si="13"/>
        <v>151</v>
      </c>
    </row>
    <row r="163" spans="1:15" x14ac:dyDescent="0.2">
      <c r="A163" s="409"/>
      <c r="B163" s="227" t="s">
        <v>202</v>
      </c>
      <c r="C163" s="228">
        <v>13</v>
      </c>
      <c r="D163" s="228">
        <v>0.4</v>
      </c>
      <c r="E163" s="228">
        <v>0.13500000000000001</v>
      </c>
      <c r="F163" s="228">
        <v>1</v>
      </c>
      <c r="G163" s="230" t="s">
        <v>203</v>
      </c>
      <c r="H163" s="231" t="s">
        <v>34</v>
      </c>
      <c r="I163" s="228">
        <v>2015</v>
      </c>
      <c r="J163" s="232">
        <f t="shared" si="9"/>
        <v>360</v>
      </c>
      <c r="K163" s="232">
        <v>30</v>
      </c>
      <c r="L163" s="18">
        <f>J163/12</f>
        <v>30</v>
      </c>
      <c r="M163" s="18">
        <f>O$3-I163</f>
        <v>10</v>
      </c>
      <c r="N163" s="19">
        <f>M163/K163</f>
        <v>0.33333333333333331</v>
      </c>
      <c r="O163" s="1">
        <f t="shared" si="13"/>
        <v>152</v>
      </c>
    </row>
    <row r="164" spans="1:15" x14ac:dyDescent="0.2">
      <c r="A164" s="409"/>
      <c r="B164" s="10" t="s">
        <v>204</v>
      </c>
      <c r="C164" s="13">
        <v>7</v>
      </c>
      <c r="D164" s="11">
        <v>0.4</v>
      </c>
      <c r="E164" s="13">
        <v>7.0000000000000007E-2</v>
      </c>
      <c r="F164" s="13">
        <v>1</v>
      </c>
      <c r="G164" s="14" t="s">
        <v>205</v>
      </c>
      <c r="H164" s="15" t="s">
        <v>52</v>
      </c>
      <c r="I164" s="11">
        <v>1976</v>
      </c>
      <c r="J164" s="16">
        <f t="shared" si="9"/>
        <v>360</v>
      </c>
      <c r="K164" s="16">
        <v>30</v>
      </c>
      <c r="L164" s="17">
        <f t="shared" si="5"/>
        <v>30</v>
      </c>
      <c r="M164" s="17">
        <f t="shared" si="6"/>
        <v>49</v>
      </c>
      <c r="N164" s="19">
        <f t="shared" si="7"/>
        <v>1.6333333333333333</v>
      </c>
      <c r="O164" s="1">
        <f t="shared" si="13"/>
        <v>153</v>
      </c>
    </row>
    <row r="165" spans="1:15" x14ac:dyDescent="0.2">
      <c r="A165" s="410"/>
      <c r="B165" s="10" t="s">
        <v>204</v>
      </c>
      <c r="C165" s="13">
        <v>17</v>
      </c>
      <c r="D165" s="11">
        <v>0.4</v>
      </c>
      <c r="E165" s="13">
        <v>7.0000000000000007E-2</v>
      </c>
      <c r="F165" s="13">
        <v>1</v>
      </c>
      <c r="G165" s="14" t="s">
        <v>205</v>
      </c>
      <c r="H165" s="15" t="s">
        <v>52</v>
      </c>
      <c r="I165" s="11">
        <v>1976</v>
      </c>
      <c r="J165" s="16">
        <f t="shared" si="9"/>
        <v>360</v>
      </c>
      <c r="K165" s="16">
        <v>30</v>
      </c>
      <c r="L165" s="17">
        <f t="shared" ref="L165" si="17">J165/12</f>
        <v>30</v>
      </c>
      <c r="M165" s="17">
        <f t="shared" ref="M165" si="18">O$3-I165</f>
        <v>49</v>
      </c>
      <c r="N165" s="19">
        <f t="shared" ref="N165" si="19">M165/K165</f>
        <v>1.6333333333333333</v>
      </c>
      <c r="O165" s="1">
        <f t="shared" si="13"/>
        <v>154</v>
      </c>
    </row>
    <row r="166" spans="1:15" ht="28.5" customHeight="1" thickBot="1" x14ac:dyDescent="0.25">
      <c r="A166" s="407"/>
      <c r="B166" s="25" t="s">
        <v>206</v>
      </c>
      <c r="C166" s="28">
        <v>3</v>
      </c>
      <c r="D166" s="26">
        <v>0.4</v>
      </c>
      <c r="E166" s="28">
        <v>0.06</v>
      </c>
      <c r="F166" s="28">
        <v>1</v>
      </c>
      <c r="G166" s="29" t="s">
        <v>207</v>
      </c>
      <c r="H166" s="47" t="s">
        <v>52</v>
      </c>
      <c r="I166" s="26">
        <v>1991</v>
      </c>
      <c r="J166" s="31">
        <f t="shared" si="9"/>
        <v>360</v>
      </c>
      <c r="K166" s="31">
        <v>30</v>
      </c>
      <c r="L166" s="32">
        <f t="shared" si="5"/>
        <v>30</v>
      </c>
      <c r="M166" s="32">
        <f t="shared" si="6"/>
        <v>34</v>
      </c>
      <c r="N166" s="33">
        <f t="shared" si="7"/>
        <v>1.1333333333333333</v>
      </c>
      <c r="O166" s="1">
        <f t="shared" si="13"/>
        <v>155</v>
      </c>
    </row>
    <row r="167" spans="1:15" ht="32.25" customHeight="1" x14ac:dyDescent="0.2">
      <c r="A167" s="406">
        <v>17</v>
      </c>
      <c r="B167" s="34" t="s">
        <v>208</v>
      </c>
      <c r="C167" s="37">
        <v>15</v>
      </c>
      <c r="D167" s="35">
        <v>0.4</v>
      </c>
      <c r="E167" s="37">
        <f>0.11</f>
        <v>0.11</v>
      </c>
      <c r="F167" s="37">
        <v>1</v>
      </c>
      <c r="G167" s="38" t="s">
        <v>209</v>
      </c>
      <c r="H167" s="39" t="s">
        <v>210</v>
      </c>
      <c r="I167" s="35">
        <v>1992</v>
      </c>
      <c r="J167" s="40">
        <f t="shared" si="9"/>
        <v>360</v>
      </c>
      <c r="K167" s="40">
        <v>30</v>
      </c>
      <c r="L167" s="41">
        <f t="shared" si="5"/>
        <v>30</v>
      </c>
      <c r="M167" s="41">
        <f t="shared" si="6"/>
        <v>33</v>
      </c>
      <c r="N167" s="43">
        <f t="shared" si="7"/>
        <v>1.1000000000000001</v>
      </c>
      <c r="O167" s="1">
        <f t="shared" si="13"/>
        <v>156</v>
      </c>
    </row>
    <row r="168" spans="1:15" ht="32.25" customHeight="1" x14ac:dyDescent="0.2">
      <c r="A168" s="408"/>
      <c r="B168" s="10" t="s">
        <v>208</v>
      </c>
      <c r="C168" s="13">
        <v>23</v>
      </c>
      <c r="D168" s="11">
        <v>0.4</v>
      </c>
      <c r="E168" s="13">
        <v>0.11</v>
      </c>
      <c r="F168" s="13">
        <v>1</v>
      </c>
      <c r="G168" s="14" t="s">
        <v>209</v>
      </c>
      <c r="H168" s="15" t="s">
        <v>210</v>
      </c>
      <c r="I168" s="11">
        <v>1992</v>
      </c>
      <c r="J168" s="16">
        <f t="shared" si="9"/>
        <v>360</v>
      </c>
      <c r="K168" s="16">
        <v>30</v>
      </c>
      <c r="L168" s="17">
        <f>J168/12</f>
        <v>30</v>
      </c>
      <c r="M168" s="17">
        <f>O$3-I168</f>
        <v>33</v>
      </c>
      <c r="N168" s="19">
        <f>M168/K168</f>
        <v>1.1000000000000001</v>
      </c>
      <c r="O168" s="1">
        <f t="shared" si="13"/>
        <v>157</v>
      </c>
    </row>
    <row r="169" spans="1:15" ht="25.5" x14ac:dyDescent="0.2">
      <c r="A169" s="409"/>
      <c r="B169" s="262" t="s">
        <v>211</v>
      </c>
      <c r="C169" s="290">
        <v>1</v>
      </c>
      <c r="D169" s="263">
        <v>0.4</v>
      </c>
      <c r="E169" s="263">
        <v>0.1</v>
      </c>
      <c r="F169" s="263">
        <v>1</v>
      </c>
      <c r="G169" s="265" t="s">
        <v>58</v>
      </c>
      <c r="H169" s="275" t="s">
        <v>210</v>
      </c>
      <c r="I169" s="263">
        <v>2009</v>
      </c>
      <c r="J169" s="266">
        <f t="shared" si="9"/>
        <v>360</v>
      </c>
      <c r="K169" s="266">
        <v>30</v>
      </c>
      <c r="L169" s="267">
        <f t="shared" ref="L169:L298" si="20">J169/12</f>
        <v>30</v>
      </c>
      <c r="M169" s="267">
        <f t="shared" ref="M169:M298" si="21">O$3-I169</f>
        <v>16</v>
      </c>
      <c r="N169" s="19">
        <f t="shared" ref="N169:N298" si="22">M169/K169</f>
        <v>0.53333333333333333</v>
      </c>
      <c r="O169" s="1">
        <f t="shared" si="13"/>
        <v>158</v>
      </c>
    </row>
    <row r="170" spans="1:15" ht="25.5" x14ac:dyDescent="0.2">
      <c r="A170" s="409"/>
      <c r="B170" s="262" t="s">
        <v>211</v>
      </c>
      <c r="C170" s="290">
        <v>20</v>
      </c>
      <c r="D170" s="263">
        <v>0.4</v>
      </c>
      <c r="E170" s="263">
        <v>0.1</v>
      </c>
      <c r="F170" s="263">
        <v>1</v>
      </c>
      <c r="G170" s="265" t="s">
        <v>58</v>
      </c>
      <c r="H170" s="275" t="s">
        <v>210</v>
      </c>
      <c r="I170" s="263">
        <v>2009</v>
      </c>
      <c r="J170" s="266">
        <f t="shared" si="9"/>
        <v>360</v>
      </c>
      <c r="K170" s="266">
        <v>30</v>
      </c>
      <c r="L170" s="267">
        <f>J170/12</f>
        <v>30</v>
      </c>
      <c r="M170" s="267">
        <f>O$3-I170</f>
        <v>16</v>
      </c>
      <c r="N170" s="19">
        <f>M170/K170</f>
        <v>0.53333333333333333</v>
      </c>
      <c r="O170" s="1">
        <f t="shared" si="13"/>
        <v>159</v>
      </c>
    </row>
    <row r="171" spans="1:15" ht="25.5" x14ac:dyDescent="0.2">
      <c r="A171" s="409"/>
      <c r="B171" s="10" t="s">
        <v>212</v>
      </c>
      <c r="C171" s="13">
        <v>13</v>
      </c>
      <c r="D171" s="11">
        <v>0.4</v>
      </c>
      <c r="E171" s="13">
        <f>0.16/2</f>
        <v>0.08</v>
      </c>
      <c r="F171" s="13">
        <v>1</v>
      </c>
      <c r="G171" s="14" t="s">
        <v>213</v>
      </c>
      <c r="H171" s="15" t="s">
        <v>210</v>
      </c>
      <c r="I171" s="11">
        <v>1993</v>
      </c>
      <c r="J171" s="16">
        <f t="shared" si="9"/>
        <v>360</v>
      </c>
      <c r="K171" s="16">
        <v>30</v>
      </c>
      <c r="L171" s="17">
        <f t="shared" si="20"/>
        <v>30</v>
      </c>
      <c r="M171" s="17">
        <f t="shared" si="21"/>
        <v>32</v>
      </c>
      <c r="N171" s="19">
        <f t="shared" si="22"/>
        <v>1.0666666666666667</v>
      </c>
      <c r="O171" s="1">
        <f t="shared" si="13"/>
        <v>160</v>
      </c>
    </row>
    <row r="172" spans="1:15" ht="25.5" x14ac:dyDescent="0.2">
      <c r="A172" s="409"/>
      <c r="B172" s="10" t="s">
        <v>212</v>
      </c>
      <c r="C172" s="13">
        <v>19</v>
      </c>
      <c r="D172" s="11">
        <v>0.4</v>
      </c>
      <c r="E172" s="13">
        <v>0.08</v>
      </c>
      <c r="F172" s="13">
        <v>1</v>
      </c>
      <c r="G172" s="14" t="s">
        <v>213</v>
      </c>
      <c r="H172" s="15" t="s">
        <v>210</v>
      </c>
      <c r="I172" s="11">
        <v>1993</v>
      </c>
      <c r="J172" s="16">
        <f t="shared" si="9"/>
        <v>360</v>
      </c>
      <c r="K172" s="16">
        <v>30</v>
      </c>
      <c r="L172" s="17">
        <f>J172/12</f>
        <v>30</v>
      </c>
      <c r="M172" s="17">
        <f>O$3-I172</f>
        <v>32</v>
      </c>
      <c r="N172" s="19">
        <f>M172/K172</f>
        <v>1.0666666666666667</v>
      </c>
      <c r="O172" s="1">
        <f t="shared" si="13"/>
        <v>161</v>
      </c>
    </row>
    <row r="173" spans="1:15" ht="25.5" x14ac:dyDescent="0.2">
      <c r="A173" s="409"/>
      <c r="B173" s="10" t="s">
        <v>214</v>
      </c>
      <c r="C173" s="13">
        <v>12</v>
      </c>
      <c r="D173" s="11">
        <v>0.4</v>
      </c>
      <c r="E173" s="13">
        <v>0.2</v>
      </c>
      <c r="F173" s="13">
        <v>1</v>
      </c>
      <c r="G173" s="14" t="s">
        <v>215</v>
      </c>
      <c r="H173" s="15" t="s">
        <v>210</v>
      </c>
      <c r="I173" s="11">
        <v>1994</v>
      </c>
      <c r="J173" s="16">
        <f t="shared" si="9"/>
        <v>360</v>
      </c>
      <c r="K173" s="16">
        <v>30</v>
      </c>
      <c r="L173" s="17">
        <f t="shared" si="20"/>
        <v>30</v>
      </c>
      <c r="M173" s="17">
        <f t="shared" si="21"/>
        <v>31</v>
      </c>
      <c r="N173" s="19">
        <f t="shared" si="22"/>
        <v>1.0333333333333334</v>
      </c>
      <c r="O173" s="1">
        <f t="shared" si="13"/>
        <v>162</v>
      </c>
    </row>
    <row r="174" spans="1:15" ht="25.5" x14ac:dyDescent="0.2">
      <c r="A174" s="409"/>
      <c r="B174" s="10" t="s">
        <v>214</v>
      </c>
      <c r="C174" s="13">
        <v>21</v>
      </c>
      <c r="D174" s="11">
        <v>0.4</v>
      </c>
      <c r="E174" s="13">
        <v>0.2</v>
      </c>
      <c r="F174" s="13">
        <v>1</v>
      </c>
      <c r="G174" s="14" t="s">
        <v>215</v>
      </c>
      <c r="H174" s="15" t="s">
        <v>210</v>
      </c>
      <c r="I174" s="11">
        <v>1994</v>
      </c>
      <c r="J174" s="16">
        <f t="shared" si="9"/>
        <v>360</v>
      </c>
      <c r="K174" s="16">
        <v>30</v>
      </c>
      <c r="L174" s="17">
        <f>J174/12</f>
        <v>30</v>
      </c>
      <c r="M174" s="17">
        <f>O$3-I174</f>
        <v>31</v>
      </c>
      <c r="N174" s="19">
        <f>M174/K174</f>
        <v>1.0333333333333334</v>
      </c>
      <c r="O174" s="1">
        <f t="shared" si="13"/>
        <v>163</v>
      </c>
    </row>
    <row r="175" spans="1:15" ht="25.5" x14ac:dyDescent="0.2">
      <c r="A175" s="409"/>
      <c r="B175" s="10" t="s">
        <v>216</v>
      </c>
      <c r="C175" s="13">
        <v>24</v>
      </c>
      <c r="D175" s="11">
        <v>0.4</v>
      </c>
      <c r="E175" s="13">
        <v>0.45</v>
      </c>
      <c r="F175" s="13">
        <v>1</v>
      </c>
      <c r="G175" s="14" t="s">
        <v>217</v>
      </c>
      <c r="H175" s="15" t="s">
        <v>218</v>
      </c>
      <c r="I175" s="11">
        <v>1991</v>
      </c>
      <c r="J175" s="16">
        <f t="shared" si="9"/>
        <v>360</v>
      </c>
      <c r="K175" s="16">
        <v>30</v>
      </c>
      <c r="L175" s="17">
        <f t="shared" si="20"/>
        <v>30</v>
      </c>
      <c r="M175" s="17">
        <f t="shared" si="21"/>
        <v>34</v>
      </c>
      <c r="N175" s="19">
        <f t="shared" si="22"/>
        <v>1.1333333333333333</v>
      </c>
      <c r="O175" s="1">
        <f t="shared" si="13"/>
        <v>164</v>
      </c>
    </row>
    <row r="176" spans="1:15" ht="20.25" customHeight="1" x14ac:dyDescent="0.2">
      <c r="A176" s="409"/>
      <c r="B176" s="262" t="s">
        <v>219</v>
      </c>
      <c r="C176" s="263">
        <v>27</v>
      </c>
      <c r="D176" s="263">
        <v>0.4</v>
      </c>
      <c r="E176" s="263">
        <v>0.1</v>
      </c>
      <c r="F176" s="263">
        <v>1</v>
      </c>
      <c r="G176" s="265" t="s">
        <v>174</v>
      </c>
      <c r="H176" s="275" t="s">
        <v>34</v>
      </c>
      <c r="I176" s="263">
        <v>2009</v>
      </c>
      <c r="J176" s="266">
        <f t="shared" si="9"/>
        <v>360</v>
      </c>
      <c r="K176" s="266">
        <v>30</v>
      </c>
      <c r="L176" s="267">
        <f t="shared" si="20"/>
        <v>30</v>
      </c>
      <c r="M176" s="267">
        <f t="shared" si="21"/>
        <v>16</v>
      </c>
      <c r="N176" s="19">
        <f t="shared" si="22"/>
        <v>0.53333333333333333</v>
      </c>
      <c r="O176" s="1">
        <f t="shared" si="13"/>
        <v>165</v>
      </c>
    </row>
    <row r="177" spans="1:18" ht="18" customHeight="1" x14ac:dyDescent="0.2">
      <c r="A177" s="409"/>
      <c r="B177" s="227" t="s">
        <v>220</v>
      </c>
      <c r="C177" s="228">
        <v>4</v>
      </c>
      <c r="D177" s="228">
        <v>0.4</v>
      </c>
      <c r="E177" s="228">
        <v>0.15</v>
      </c>
      <c r="F177" s="228">
        <v>1</v>
      </c>
      <c r="G177" s="230" t="s">
        <v>686</v>
      </c>
      <c r="H177" s="231" t="s">
        <v>684</v>
      </c>
      <c r="I177" s="228">
        <v>2024</v>
      </c>
      <c r="J177" s="232">
        <f t="shared" si="9"/>
        <v>360</v>
      </c>
      <c r="K177" s="232">
        <v>30</v>
      </c>
      <c r="L177" s="18">
        <f t="shared" si="20"/>
        <v>30</v>
      </c>
      <c r="M177" s="18">
        <f t="shared" si="21"/>
        <v>1</v>
      </c>
      <c r="N177" s="19">
        <f t="shared" si="22"/>
        <v>3.3333333333333333E-2</v>
      </c>
      <c r="O177" s="1">
        <f t="shared" si="13"/>
        <v>166</v>
      </c>
      <c r="R177" s="313"/>
    </row>
    <row r="178" spans="1:18" ht="25.5" x14ac:dyDescent="0.2">
      <c r="A178" s="410"/>
      <c r="B178" s="297" t="s">
        <v>221</v>
      </c>
      <c r="C178" s="228">
        <v>2</v>
      </c>
      <c r="D178" s="228">
        <v>0.4</v>
      </c>
      <c r="E178" s="228">
        <v>0.29899999999999999</v>
      </c>
      <c r="F178" s="228">
        <v>1</v>
      </c>
      <c r="G178" s="230" t="s">
        <v>703</v>
      </c>
      <c r="H178" s="231" t="s">
        <v>222</v>
      </c>
      <c r="I178" s="228">
        <v>2025</v>
      </c>
      <c r="J178" s="232">
        <f t="shared" si="9"/>
        <v>360</v>
      </c>
      <c r="K178" s="232">
        <v>30</v>
      </c>
      <c r="L178" s="18">
        <f>J178/12</f>
        <v>30</v>
      </c>
      <c r="M178" s="18">
        <f>O$3-I178</f>
        <v>0</v>
      </c>
      <c r="N178" s="19">
        <f>M178/K178</f>
        <v>0</v>
      </c>
      <c r="O178" s="1">
        <f t="shared" si="13"/>
        <v>167</v>
      </c>
    </row>
    <row r="179" spans="1:18" ht="26.25" thickBot="1" x14ac:dyDescent="0.25">
      <c r="A179" s="407"/>
      <c r="B179" s="347" t="s">
        <v>221</v>
      </c>
      <c r="C179" s="242">
        <v>22</v>
      </c>
      <c r="D179" s="242">
        <v>0.4</v>
      </c>
      <c r="E179" s="242">
        <v>0.29899999999999999</v>
      </c>
      <c r="F179" s="242">
        <v>1</v>
      </c>
      <c r="G179" s="240" t="s">
        <v>703</v>
      </c>
      <c r="H179" s="241" t="s">
        <v>222</v>
      </c>
      <c r="I179" s="242">
        <v>2025</v>
      </c>
      <c r="J179" s="243">
        <f t="shared" si="9"/>
        <v>360</v>
      </c>
      <c r="K179" s="243">
        <v>30</v>
      </c>
      <c r="L179" s="48">
        <f t="shared" si="20"/>
        <v>30</v>
      </c>
      <c r="M179" s="48">
        <f t="shared" si="21"/>
        <v>0</v>
      </c>
      <c r="N179" s="33">
        <f t="shared" si="22"/>
        <v>0</v>
      </c>
      <c r="O179" s="1">
        <f t="shared" si="13"/>
        <v>168</v>
      </c>
    </row>
    <row r="180" spans="1:18" x14ac:dyDescent="0.2">
      <c r="A180" s="406">
        <v>18</v>
      </c>
      <c r="B180" s="244" t="s">
        <v>223</v>
      </c>
      <c r="C180" s="245">
        <v>5</v>
      </c>
      <c r="D180" s="245">
        <v>0.4</v>
      </c>
      <c r="E180" s="245">
        <v>0.2</v>
      </c>
      <c r="F180" s="245">
        <v>1</v>
      </c>
      <c r="G180" s="248" t="s">
        <v>224</v>
      </c>
      <c r="H180" s="249" t="s">
        <v>34</v>
      </c>
      <c r="I180" s="245">
        <v>2022</v>
      </c>
      <c r="J180" s="250">
        <f t="shared" si="9"/>
        <v>360</v>
      </c>
      <c r="K180" s="250">
        <v>30</v>
      </c>
      <c r="L180" s="42">
        <f t="shared" si="20"/>
        <v>30</v>
      </c>
      <c r="M180" s="42">
        <f t="shared" si="21"/>
        <v>3</v>
      </c>
      <c r="N180" s="43">
        <f t="shared" si="22"/>
        <v>0.1</v>
      </c>
      <c r="O180" s="1">
        <f t="shared" si="13"/>
        <v>169</v>
      </c>
    </row>
    <row r="181" spans="1:18" x14ac:dyDescent="0.2">
      <c r="A181" s="408"/>
      <c r="B181" s="227" t="s">
        <v>223</v>
      </c>
      <c r="C181" s="228">
        <v>14</v>
      </c>
      <c r="D181" s="228">
        <v>0.4</v>
      </c>
      <c r="E181" s="228">
        <v>0.2</v>
      </c>
      <c r="F181" s="228">
        <v>1</v>
      </c>
      <c r="G181" s="230" t="s">
        <v>224</v>
      </c>
      <c r="H181" s="231" t="s">
        <v>34</v>
      </c>
      <c r="I181" s="228">
        <v>2022</v>
      </c>
      <c r="J181" s="232">
        <f t="shared" si="9"/>
        <v>360</v>
      </c>
      <c r="K181" s="232">
        <v>30</v>
      </c>
      <c r="L181" s="18">
        <f>J181/12</f>
        <v>30</v>
      </c>
      <c r="M181" s="18">
        <f>O$3-I181</f>
        <v>3</v>
      </c>
      <c r="N181" s="19">
        <f>M181/K181</f>
        <v>0.1</v>
      </c>
      <c r="O181" s="1">
        <f t="shared" si="13"/>
        <v>170</v>
      </c>
    </row>
    <row r="182" spans="1:18" x14ac:dyDescent="0.2">
      <c r="A182" s="409"/>
      <c r="B182" s="227" t="s">
        <v>225</v>
      </c>
      <c r="C182" s="228">
        <v>9</v>
      </c>
      <c r="D182" s="228">
        <v>0.4</v>
      </c>
      <c r="E182" s="228">
        <v>0.09</v>
      </c>
      <c r="F182" s="228">
        <v>1</v>
      </c>
      <c r="G182" s="230" t="s">
        <v>226</v>
      </c>
      <c r="H182" s="231" t="s">
        <v>34</v>
      </c>
      <c r="I182" s="228">
        <v>2021</v>
      </c>
      <c r="J182" s="232">
        <f t="shared" si="9"/>
        <v>360</v>
      </c>
      <c r="K182" s="232">
        <v>30</v>
      </c>
      <c r="L182" s="18">
        <f t="shared" si="20"/>
        <v>30</v>
      </c>
      <c r="M182" s="18">
        <f t="shared" si="21"/>
        <v>4</v>
      </c>
      <c r="N182" s="19">
        <f t="shared" si="22"/>
        <v>0.13333333333333333</v>
      </c>
      <c r="O182" s="1">
        <f t="shared" si="13"/>
        <v>171</v>
      </c>
    </row>
    <row r="183" spans="1:18" x14ac:dyDescent="0.2">
      <c r="A183" s="409"/>
      <c r="B183" s="227" t="s">
        <v>225</v>
      </c>
      <c r="C183" s="228">
        <v>16</v>
      </c>
      <c r="D183" s="228">
        <v>0.4</v>
      </c>
      <c r="E183" s="228">
        <v>0.09</v>
      </c>
      <c r="F183" s="228">
        <v>1</v>
      </c>
      <c r="G183" s="230" t="s">
        <v>226</v>
      </c>
      <c r="H183" s="231" t="s">
        <v>34</v>
      </c>
      <c r="I183" s="228">
        <v>2021</v>
      </c>
      <c r="J183" s="232">
        <f t="shared" si="9"/>
        <v>360</v>
      </c>
      <c r="K183" s="232">
        <v>30</v>
      </c>
      <c r="L183" s="18">
        <f>J183/12</f>
        <v>30</v>
      </c>
      <c r="M183" s="18">
        <f>O$3-I183</f>
        <v>4</v>
      </c>
      <c r="N183" s="19">
        <f>M183/K183</f>
        <v>0.13333333333333333</v>
      </c>
      <c r="O183" s="1">
        <f t="shared" si="13"/>
        <v>172</v>
      </c>
    </row>
    <row r="184" spans="1:18" x14ac:dyDescent="0.2">
      <c r="A184" s="409"/>
      <c r="B184" s="10" t="s">
        <v>227</v>
      </c>
      <c r="C184" s="13">
        <v>8</v>
      </c>
      <c r="D184" s="11">
        <v>0.4</v>
      </c>
      <c r="E184" s="13">
        <f>0.34/2</f>
        <v>0.17</v>
      </c>
      <c r="F184" s="11">
        <v>1</v>
      </c>
      <c r="G184" s="14" t="s">
        <v>228</v>
      </c>
      <c r="H184" s="15" t="s">
        <v>34</v>
      </c>
      <c r="I184" s="11">
        <v>1989</v>
      </c>
      <c r="J184" s="16">
        <f t="shared" si="9"/>
        <v>360</v>
      </c>
      <c r="K184" s="16">
        <v>30</v>
      </c>
      <c r="L184" s="17">
        <f t="shared" si="20"/>
        <v>30</v>
      </c>
      <c r="M184" s="17">
        <f t="shared" si="21"/>
        <v>36</v>
      </c>
      <c r="N184" s="19">
        <f t="shared" si="22"/>
        <v>1.2</v>
      </c>
      <c r="O184" s="1">
        <f t="shared" si="13"/>
        <v>173</v>
      </c>
    </row>
    <row r="185" spans="1:18" x14ac:dyDescent="0.2">
      <c r="A185" s="409"/>
      <c r="B185" s="10" t="s">
        <v>227</v>
      </c>
      <c r="C185" s="13">
        <v>21</v>
      </c>
      <c r="D185" s="11">
        <v>0.4</v>
      </c>
      <c r="E185" s="13">
        <v>0.17</v>
      </c>
      <c r="F185" s="11">
        <v>1</v>
      </c>
      <c r="G185" s="14" t="s">
        <v>228</v>
      </c>
      <c r="H185" s="15" t="s">
        <v>34</v>
      </c>
      <c r="I185" s="11">
        <v>1989</v>
      </c>
      <c r="J185" s="16">
        <f t="shared" si="9"/>
        <v>360</v>
      </c>
      <c r="K185" s="16">
        <v>30</v>
      </c>
      <c r="L185" s="17">
        <f>J185/12</f>
        <v>30</v>
      </c>
      <c r="M185" s="17">
        <f>O$3-I185</f>
        <v>36</v>
      </c>
      <c r="N185" s="19">
        <f>M185/K185</f>
        <v>1.2</v>
      </c>
      <c r="O185" s="1">
        <f t="shared" si="13"/>
        <v>174</v>
      </c>
    </row>
    <row r="186" spans="1:18" x14ac:dyDescent="0.2">
      <c r="A186" s="409"/>
      <c r="B186" s="10" t="s">
        <v>229</v>
      </c>
      <c r="C186" s="13">
        <v>10</v>
      </c>
      <c r="D186" s="11">
        <v>0.4</v>
      </c>
      <c r="E186" s="13">
        <v>0.14000000000000001</v>
      </c>
      <c r="F186" s="11">
        <v>1</v>
      </c>
      <c r="G186" s="14" t="s">
        <v>230</v>
      </c>
      <c r="H186" s="15" t="s">
        <v>34</v>
      </c>
      <c r="I186" s="11">
        <v>1989</v>
      </c>
      <c r="J186" s="16">
        <f t="shared" si="9"/>
        <v>360</v>
      </c>
      <c r="K186" s="16">
        <v>30</v>
      </c>
      <c r="L186" s="17">
        <f t="shared" si="20"/>
        <v>30</v>
      </c>
      <c r="M186" s="17">
        <f t="shared" si="21"/>
        <v>36</v>
      </c>
      <c r="N186" s="19">
        <f t="shared" si="22"/>
        <v>1.2</v>
      </c>
      <c r="O186" s="1">
        <f t="shared" si="13"/>
        <v>175</v>
      </c>
    </row>
    <row r="187" spans="1:18" x14ac:dyDescent="0.2">
      <c r="A187" s="410"/>
      <c r="B187" s="10" t="s">
        <v>229</v>
      </c>
      <c r="C187" s="13">
        <v>23</v>
      </c>
      <c r="D187" s="11">
        <v>0.4</v>
      </c>
      <c r="E187" s="13">
        <v>0.14000000000000001</v>
      </c>
      <c r="F187" s="11">
        <v>1</v>
      </c>
      <c r="G187" s="14" t="s">
        <v>230</v>
      </c>
      <c r="H187" s="15" t="s">
        <v>34</v>
      </c>
      <c r="I187" s="11">
        <v>1989</v>
      </c>
      <c r="J187" s="16">
        <f t="shared" si="9"/>
        <v>360</v>
      </c>
      <c r="K187" s="16">
        <v>30</v>
      </c>
      <c r="L187" s="17">
        <f>J187/12</f>
        <v>30</v>
      </c>
      <c r="M187" s="17">
        <f>O$3-I187</f>
        <v>36</v>
      </c>
      <c r="N187" s="19">
        <f>M187/K187</f>
        <v>1.2</v>
      </c>
      <c r="O187" s="1">
        <f t="shared" si="13"/>
        <v>176</v>
      </c>
    </row>
    <row r="188" spans="1:18" x14ac:dyDescent="0.2">
      <c r="A188" s="410"/>
      <c r="B188" s="52" t="s">
        <v>231</v>
      </c>
      <c r="C188" s="13">
        <v>4</v>
      </c>
      <c r="D188" s="11">
        <v>0.4</v>
      </c>
      <c r="E188" s="13">
        <f>0.32/2</f>
        <v>0.16</v>
      </c>
      <c r="F188" s="11">
        <v>1</v>
      </c>
      <c r="G188" s="14" t="s">
        <v>232</v>
      </c>
      <c r="H188" s="15" t="s">
        <v>34</v>
      </c>
      <c r="I188" s="11">
        <v>1983</v>
      </c>
      <c r="J188" s="16">
        <f t="shared" si="9"/>
        <v>360</v>
      </c>
      <c r="K188" s="16">
        <v>30</v>
      </c>
      <c r="L188" s="17">
        <f>J188/12</f>
        <v>30</v>
      </c>
      <c r="M188" s="17">
        <f>O$3-I188</f>
        <v>42</v>
      </c>
      <c r="N188" s="19">
        <f>M188/K188</f>
        <v>1.4</v>
      </c>
      <c r="O188" s="1">
        <f t="shared" si="13"/>
        <v>177</v>
      </c>
    </row>
    <row r="189" spans="1:18" ht="13.5" thickBot="1" x14ac:dyDescent="0.25">
      <c r="A189" s="407"/>
      <c r="B189" s="53" t="s">
        <v>231</v>
      </c>
      <c r="C189" s="28">
        <v>13</v>
      </c>
      <c r="D189" s="26">
        <v>0.4</v>
      </c>
      <c r="E189" s="28">
        <v>0.16</v>
      </c>
      <c r="F189" s="26">
        <v>1</v>
      </c>
      <c r="G189" s="29" t="s">
        <v>232</v>
      </c>
      <c r="H189" s="47" t="s">
        <v>34</v>
      </c>
      <c r="I189" s="26">
        <v>1983</v>
      </c>
      <c r="J189" s="31">
        <f t="shared" si="9"/>
        <v>360</v>
      </c>
      <c r="K189" s="31">
        <v>30</v>
      </c>
      <c r="L189" s="32">
        <f t="shared" si="20"/>
        <v>30</v>
      </c>
      <c r="M189" s="32">
        <f t="shared" si="21"/>
        <v>42</v>
      </c>
      <c r="N189" s="33">
        <f t="shared" si="22"/>
        <v>1.4</v>
      </c>
      <c r="O189" s="1">
        <f t="shared" si="13"/>
        <v>178</v>
      </c>
    </row>
    <row r="190" spans="1:18" x14ac:dyDescent="0.2">
      <c r="A190" s="411">
        <v>19</v>
      </c>
      <c r="B190" s="327" t="s">
        <v>233</v>
      </c>
      <c r="C190" s="37">
        <v>4</v>
      </c>
      <c r="D190" s="37">
        <v>0.4</v>
      </c>
      <c r="E190" s="37">
        <v>0.08</v>
      </c>
      <c r="F190" s="49">
        <v>1</v>
      </c>
      <c r="G190" s="38" t="s">
        <v>234</v>
      </c>
      <c r="H190" s="75" t="s">
        <v>52</v>
      </c>
      <c r="I190" s="37">
        <v>1998</v>
      </c>
      <c r="J190" s="40">
        <f t="shared" si="9"/>
        <v>360</v>
      </c>
      <c r="K190" s="40">
        <v>30</v>
      </c>
      <c r="L190" s="41">
        <f t="shared" si="20"/>
        <v>30</v>
      </c>
      <c r="M190" s="41">
        <f t="shared" si="21"/>
        <v>27</v>
      </c>
      <c r="N190" s="43">
        <f t="shared" si="22"/>
        <v>0.9</v>
      </c>
      <c r="O190" s="1">
        <f t="shared" si="13"/>
        <v>179</v>
      </c>
    </row>
    <row r="191" spans="1:18" x14ac:dyDescent="0.2">
      <c r="A191" s="412"/>
      <c r="B191" s="328" t="s">
        <v>233</v>
      </c>
      <c r="C191" s="13">
        <v>13</v>
      </c>
      <c r="D191" s="13">
        <v>0.4</v>
      </c>
      <c r="E191" s="13">
        <v>0.08</v>
      </c>
      <c r="F191" s="13">
        <v>1</v>
      </c>
      <c r="G191" s="14" t="s">
        <v>235</v>
      </c>
      <c r="H191" s="23" t="s">
        <v>52</v>
      </c>
      <c r="I191" s="13">
        <v>1998</v>
      </c>
      <c r="J191" s="16">
        <f t="shared" si="9"/>
        <v>360</v>
      </c>
      <c r="K191" s="16">
        <v>30</v>
      </c>
      <c r="L191" s="17">
        <f t="shared" si="20"/>
        <v>30</v>
      </c>
      <c r="M191" s="17">
        <f t="shared" si="21"/>
        <v>27</v>
      </c>
      <c r="N191" s="19">
        <f t="shared" si="22"/>
        <v>0.9</v>
      </c>
      <c r="O191" s="1">
        <f t="shared" si="13"/>
        <v>180</v>
      </c>
    </row>
    <row r="192" spans="1:18" x14ac:dyDescent="0.2">
      <c r="A192" s="412"/>
      <c r="B192" s="66" t="s">
        <v>236</v>
      </c>
      <c r="C192" s="13">
        <v>5</v>
      </c>
      <c r="D192" s="11">
        <v>0.4</v>
      </c>
      <c r="E192" s="13">
        <v>0.18</v>
      </c>
      <c r="F192" s="11">
        <v>1</v>
      </c>
      <c r="G192" s="14" t="s">
        <v>237</v>
      </c>
      <c r="H192" s="15" t="s">
        <v>52</v>
      </c>
      <c r="I192" s="11">
        <v>1978</v>
      </c>
      <c r="J192" s="16">
        <f t="shared" si="9"/>
        <v>360</v>
      </c>
      <c r="K192" s="16">
        <v>30</v>
      </c>
      <c r="L192" s="17">
        <f t="shared" si="20"/>
        <v>30</v>
      </c>
      <c r="M192" s="17">
        <f t="shared" si="21"/>
        <v>47</v>
      </c>
      <c r="N192" s="19">
        <f t="shared" si="22"/>
        <v>1.5666666666666667</v>
      </c>
      <c r="O192" s="1">
        <f t="shared" si="13"/>
        <v>181</v>
      </c>
    </row>
    <row r="193" spans="1:18" x14ac:dyDescent="0.2">
      <c r="A193" s="412"/>
      <c r="B193" s="66" t="s">
        <v>236</v>
      </c>
      <c r="C193" s="13">
        <v>5</v>
      </c>
      <c r="D193" s="11">
        <v>0.4</v>
      </c>
      <c r="E193" s="13">
        <v>0.18</v>
      </c>
      <c r="F193" s="11">
        <v>1</v>
      </c>
      <c r="G193" s="14" t="s">
        <v>237</v>
      </c>
      <c r="H193" s="15" t="s">
        <v>52</v>
      </c>
      <c r="I193" s="11">
        <v>1978</v>
      </c>
      <c r="J193" s="16">
        <f t="shared" si="9"/>
        <v>360</v>
      </c>
      <c r="K193" s="16">
        <v>30</v>
      </c>
      <c r="L193" s="17">
        <f>J193/12</f>
        <v>30</v>
      </c>
      <c r="M193" s="17">
        <f>O$3-I193</f>
        <v>47</v>
      </c>
      <c r="N193" s="19">
        <f>M193/K193</f>
        <v>1.5666666666666667</v>
      </c>
      <c r="O193" s="1">
        <f t="shared" si="13"/>
        <v>182</v>
      </c>
    </row>
    <row r="194" spans="1:18" x14ac:dyDescent="0.2">
      <c r="A194" s="412"/>
      <c r="B194" s="66" t="s">
        <v>236</v>
      </c>
      <c r="C194" s="13">
        <v>12</v>
      </c>
      <c r="D194" s="11">
        <v>0.4</v>
      </c>
      <c r="E194" s="13">
        <v>0.18</v>
      </c>
      <c r="F194" s="11">
        <v>1</v>
      </c>
      <c r="G194" s="14" t="s">
        <v>237</v>
      </c>
      <c r="H194" s="15" t="s">
        <v>52</v>
      </c>
      <c r="I194" s="11">
        <v>1978</v>
      </c>
      <c r="J194" s="16">
        <f t="shared" si="9"/>
        <v>360</v>
      </c>
      <c r="K194" s="16">
        <v>30</v>
      </c>
      <c r="L194" s="17">
        <f>J194/12</f>
        <v>30</v>
      </c>
      <c r="M194" s="17">
        <f>O$3-I194</f>
        <v>47</v>
      </c>
      <c r="N194" s="19">
        <f>M194/K194</f>
        <v>1.5666666666666667</v>
      </c>
      <c r="O194" s="1">
        <f t="shared" si="13"/>
        <v>183</v>
      </c>
    </row>
    <row r="195" spans="1:18" x14ac:dyDescent="0.2">
      <c r="A195" s="412"/>
      <c r="B195" s="66" t="s">
        <v>236</v>
      </c>
      <c r="C195" s="13">
        <v>12</v>
      </c>
      <c r="D195" s="11">
        <v>0.4</v>
      </c>
      <c r="E195" s="13">
        <v>0.18</v>
      </c>
      <c r="F195" s="11">
        <v>1</v>
      </c>
      <c r="G195" s="14" t="s">
        <v>237</v>
      </c>
      <c r="H195" s="15" t="s">
        <v>52</v>
      </c>
      <c r="I195" s="11">
        <v>1978</v>
      </c>
      <c r="J195" s="16">
        <f t="shared" si="9"/>
        <v>360</v>
      </c>
      <c r="K195" s="16">
        <v>30</v>
      </c>
      <c r="L195" s="17">
        <f>J195/12</f>
        <v>30</v>
      </c>
      <c r="M195" s="17">
        <f>O$3-I195</f>
        <v>47</v>
      </c>
      <c r="N195" s="19">
        <f>M195/K195</f>
        <v>1.5666666666666667</v>
      </c>
      <c r="O195" s="1">
        <f t="shared" si="13"/>
        <v>184</v>
      </c>
    </row>
    <row r="196" spans="1:18" x14ac:dyDescent="0.2">
      <c r="A196" s="412"/>
      <c r="B196" s="319" t="s">
        <v>238</v>
      </c>
      <c r="C196" s="320">
        <v>3</v>
      </c>
      <c r="D196" s="228">
        <v>0.4</v>
      </c>
      <c r="E196" s="228">
        <v>0.26</v>
      </c>
      <c r="F196" s="228">
        <v>1</v>
      </c>
      <c r="G196" s="230" t="s">
        <v>136</v>
      </c>
      <c r="H196" s="231" t="s">
        <v>34</v>
      </c>
      <c r="I196" s="228">
        <v>2024</v>
      </c>
      <c r="J196" s="232">
        <f t="shared" si="9"/>
        <v>360</v>
      </c>
      <c r="K196" s="232">
        <v>30</v>
      </c>
      <c r="L196" s="18">
        <f t="shared" si="20"/>
        <v>30</v>
      </c>
      <c r="M196" s="18">
        <f t="shared" si="21"/>
        <v>1</v>
      </c>
      <c r="N196" s="19">
        <f t="shared" si="22"/>
        <v>3.3333333333333333E-2</v>
      </c>
      <c r="O196" s="1">
        <f t="shared" si="13"/>
        <v>185</v>
      </c>
      <c r="Q196" s="114" t="s">
        <v>239</v>
      </c>
      <c r="R196" s="114"/>
    </row>
    <row r="197" spans="1:18" x14ac:dyDescent="0.2">
      <c r="A197" s="412"/>
      <c r="B197" s="319" t="s">
        <v>238</v>
      </c>
      <c r="C197" s="320">
        <v>10</v>
      </c>
      <c r="D197" s="228">
        <v>0.4</v>
      </c>
      <c r="E197" s="228">
        <v>0.27</v>
      </c>
      <c r="F197" s="228">
        <v>1</v>
      </c>
      <c r="G197" s="230" t="s">
        <v>136</v>
      </c>
      <c r="H197" s="231" t="s">
        <v>34</v>
      </c>
      <c r="I197" s="228">
        <v>2024</v>
      </c>
      <c r="J197" s="232">
        <f t="shared" si="9"/>
        <v>360</v>
      </c>
      <c r="K197" s="232">
        <v>30</v>
      </c>
      <c r="L197" s="18">
        <f>J197/12</f>
        <v>30</v>
      </c>
      <c r="M197" s="18">
        <f>O$3-I197</f>
        <v>1</v>
      </c>
      <c r="N197" s="19">
        <f>M197/K197</f>
        <v>3.3333333333333333E-2</v>
      </c>
      <c r="O197" s="1">
        <f t="shared" si="13"/>
        <v>186</v>
      </c>
      <c r="Q197" s="114" t="s">
        <v>239</v>
      </c>
      <c r="R197" s="114"/>
    </row>
    <row r="198" spans="1:18" x14ac:dyDescent="0.2">
      <c r="A198" s="412"/>
      <c r="B198" s="291" t="s">
        <v>240</v>
      </c>
      <c r="C198" s="290">
        <v>6</v>
      </c>
      <c r="D198" s="263">
        <v>0.4</v>
      </c>
      <c r="E198" s="263">
        <v>0.22</v>
      </c>
      <c r="F198" s="263">
        <v>1</v>
      </c>
      <c r="G198" s="265" t="s">
        <v>79</v>
      </c>
      <c r="H198" s="275" t="s">
        <v>34</v>
      </c>
      <c r="I198" s="263">
        <v>2007</v>
      </c>
      <c r="J198" s="266">
        <f t="shared" si="9"/>
        <v>360</v>
      </c>
      <c r="K198" s="266">
        <v>30</v>
      </c>
      <c r="L198" s="267">
        <f t="shared" si="20"/>
        <v>30</v>
      </c>
      <c r="M198" s="267">
        <f t="shared" si="21"/>
        <v>18</v>
      </c>
      <c r="N198" s="19">
        <f t="shared" si="22"/>
        <v>0.6</v>
      </c>
      <c r="O198" s="1">
        <f t="shared" si="13"/>
        <v>187</v>
      </c>
    </row>
    <row r="199" spans="1:18" x14ac:dyDescent="0.2">
      <c r="A199" s="413"/>
      <c r="B199" s="291" t="s">
        <v>240</v>
      </c>
      <c r="C199" s="290">
        <v>10</v>
      </c>
      <c r="D199" s="263">
        <v>0.4</v>
      </c>
      <c r="E199" s="263">
        <v>0.23</v>
      </c>
      <c r="F199" s="263">
        <v>1</v>
      </c>
      <c r="G199" s="265" t="s">
        <v>79</v>
      </c>
      <c r="H199" s="275" t="s">
        <v>34</v>
      </c>
      <c r="I199" s="263">
        <v>2007</v>
      </c>
      <c r="J199" s="266">
        <f t="shared" si="9"/>
        <v>360</v>
      </c>
      <c r="K199" s="266">
        <v>30</v>
      </c>
      <c r="L199" s="267">
        <f>J199/12</f>
        <v>30</v>
      </c>
      <c r="M199" s="267">
        <f>O$3-I199</f>
        <v>18</v>
      </c>
      <c r="N199" s="19">
        <f>M199/K199</f>
        <v>0.6</v>
      </c>
      <c r="O199" s="1">
        <f t="shared" si="13"/>
        <v>188</v>
      </c>
    </row>
    <row r="200" spans="1:18" x14ac:dyDescent="0.2">
      <c r="A200" s="413"/>
      <c r="B200" s="291" t="s">
        <v>241</v>
      </c>
      <c r="C200" s="263">
        <v>2</v>
      </c>
      <c r="D200" s="263">
        <v>0.4</v>
      </c>
      <c r="E200" s="263">
        <f>0.34/2</f>
        <v>0.17</v>
      </c>
      <c r="F200" s="263">
        <v>1</v>
      </c>
      <c r="G200" s="265" t="s">
        <v>79</v>
      </c>
      <c r="H200" s="275" t="s">
        <v>34</v>
      </c>
      <c r="I200" s="263">
        <v>2007</v>
      </c>
      <c r="J200" s="266">
        <f t="shared" si="9"/>
        <v>360</v>
      </c>
      <c r="K200" s="266">
        <v>30</v>
      </c>
      <c r="L200" s="267">
        <f>J200/12</f>
        <v>30</v>
      </c>
      <c r="M200" s="267">
        <f>O$3-I200</f>
        <v>18</v>
      </c>
      <c r="N200" s="19">
        <f>M200/K200</f>
        <v>0.6</v>
      </c>
      <c r="O200" s="1">
        <f t="shared" si="13"/>
        <v>189</v>
      </c>
    </row>
    <row r="201" spans="1:18" ht="13.5" thickBot="1" x14ac:dyDescent="0.25">
      <c r="A201" s="414"/>
      <c r="B201" s="292" t="s">
        <v>241</v>
      </c>
      <c r="C201" s="269">
        <v>4</v>
      </c>
      <c r="D201" s="269">
        <v>0.4</v>
      </c>
      <c r="E201" s="269">
        <v>0.17</v>
      </c>
      <c r="F201" s="269">
        <v>1</v>
      </c>
      <c r="G201" s="271" t="s">
        <v>79</v>
      </c>
      <c r="H201" s="287" t="s">
        <v>34</v>
      </c>
      <c r="I201" s="269">
        <v>2007</v>
      </c>
      <c r="J201" s="272">
        <f t="shared" si="9"/>
        <v>360</v>
      </c>
      <c r="K201" s="272">
        <v>30</v>
      </c>
      <c r="L201" s="273">
        <f t="shared" si="20"/>
        <v>30</v>
      </c>
      <c r="M201" s="273">
        <f t="shared" si="21"/>
        <v>18</v>
      </c>
      <c r="N201" s="33">
        <f t="shared" si="22"/>
        <v>0.6</v>
      </c>
      <c r="O201" s="1">
        <f t="shared" si="13"/>
        <v>190</v>
      </c>
    </row>
    <row r="202" spans="1:18" x14ac:dyDescent="0.2">
      <c r="A202" s="406">
        <v>20</v>
      </c>
      <c r="B202" s="288" t="s">
        <v>242</v>
      </c>
      <c r="C202" s="278">
        <v>2</v>
      </c>
      <c r="D202" s="278">
        <v>0.4</v>
      </c>
      <c r="E202" s="293">
        <f>0.36/2</f>
        <v>0.18</v>
      </c>
      <c r="F202" s="278">
        <v>1</v>
      </c>
      <c r="G202" s="279" t="s">
        <v>243</v>
      </c>
      <c r="H202" s="280" t="s">
        <v>34</v>
      </c>
      <c r="I202" s="278">
        <v>2013</v>
      </c>
      <c r="J202" s="281">
        <f t="shared" si="9"/>
        <v>360</v>
      </c>
      <c r="K202" s="281">
        <v>30</v>
      </c>
      <c r="L202" s="282">
        <f t="shared" si="20"/>
        <v>30</v>
      </c>
      <c r="M202" s="282">
        <f t="shared" si="21"/>
        <v>12</v>
      </c>
      <c r="N202" s="43">
        <f t="shared" si="22"/>
        <v>0.4</v>
      </c>
      <c r="O202" s="1">
        <f t="shared" si="13"/>
        <v>191</v>
      </c>
    </row>
    <row r="203" spans="1:18" x14ac:dyDescent="0.2">
      <c r="A203" s="408"/>
      <c r="B203" s="262" t="s">
        <v>242</v>
      </c>
      <c r="C203" s="263">
        <v>24</v>
      </c>
      <c r="D203" s="263">
        <v>0.4</v>
      </c>
      <c r="E203" s="274">
        <v>0.18</v>
      </c>
      <c r="F203" s="263">
        <v>1</v>
      </c>
      <c r="G203" s="265" t="s">
        <v>243</v>
      </c>
      <c r="H203" s="275" t="s">
        <v>34</v>
      </c>
      <c r="I203" s="263">
        <v>2013</v>
      </c>
      <c r="J203" s="266">
        <f t="shared" si="9"/>
        <v>360</v>
      </c>
      <c r="K203" s="266">
        <v>30</v>
      </c>
      <c r="L203" s="267">
        <f t="shared" ref="L203" si="23">J203/12</f>
        <v>30</v>
      </c>
      <c r="M203" s="267">
        <f t="shared" ref="M203" si="24">O$3-I203</f>
        <v>12</v>
      </c>
      <c r="N203" s="19">
        <f t="shared" ref="N203" si="25">M203/K203</f>
        <v>0.4</v>
      </c>
      <c r="O203" s="1">
        <f t="shared" si="13"/>
        <v>192</v>
      </c>
    </row>
    <row r="204" spans="1:18" x14ac:dyDescent="0.2">
      <c r="A204" s="409"/>
      <c r="B204" s="10" t="s">
        <v>244</v>
      </c>
      <c r="C204" s="13">
        <v>6</v>
      </c>
      <c r="D204" s="11">
        <v>0.4</v>
      </c>
      <c r="E204" s="44">
        <v>0.08</v>
      </c>
      <c r="F204" s="11">
        <v>1</v>
      </c>
      <c r="G204" s="14" t="s">
        <v>245</v>
      </c>
      <c r="H204" s="15" t="s">
        <v>34</v>
      </c>
      <c r="I204" s="11">
        <v>1980</v>
      </c>
      <c r="J204" s="16">
        <f t="shared" si="9"/>
        <v>360</v>
      </c>
      <c r="K204" s="16">
        <v>30</v>
      </c>
      <c r="L204" s="17">
        <f t="shared" si="20"/>
        <v>30</v>
      </c>
      <c r="M204" s="17">
        <f t="shared" si="21"/>
        <v>45</v>
      </c>
      <c r="N204" s="19">
        <f t="shared" si="22"/>
        <v>1.5</v>
      </c>
      <c r="O204" s="1">
        <f t="shared" si="13"/>
        <v>193</v>
      </c>
    </row>
    <row r="205" spans="1:18" x14ac:dyDescent="0.2">
      <c r="A205" s="409"/>
      <c r="B205" s="10" t="s">
        <v>244</v>
      </c>
      <c r="C205" s="13">
        <v>6</v>
      </c>
      <c r="D205" s="11">
        <v>0.4</v>
      </c>
      <c r="E205" s="44">
        <v>0.08</v>
      </c>
      <c r="F205" s="11">
        <v>1</v>
      </c>
      <c r="G205" s="14" t="s">
        <v>245</v>
      </c>
      <c r="H205" s="15" t="s">
        <v>34</v>
      </c>
      <c r="I205" s="11">
        <v>1980</v>
      </c>
      <c r="J205" s="16">
        <f t="shared" si="9"/>
        <v>360</v>
      </c>
      <c r="K205" s="16">
        <v>30</v>
      </c>
      <c r="L205" s="17">
        <f t="shared" ref="L205" si="26">J205/12</f>
        <v>30</v>
      </c>
      <c r="M205" s="17">
        <f t="shared" ref="M205" si="27">O$3-I205</f>
        <v>45</v>
      </c>
      <c r="N205" s="19">
        <f t="shared" ref="N205" si="28">M205/K205</f>
        <v>1.5</v>
      </c>
      <c r="O205" s="1">
        <f t="shared" si="13"/>
        <v>194</v>
      </c>
    </row>
    <row r="206" spans="1:18" x14ac:dyDescent="0.2">
      <c r="A206" s="409"/>
      <c r="B206" s="10" t="s">
        <v>244</v>
      </c>
      <c r="C206" s="13">
        <v>22</v>
      </c>
      <c r="D206" s="11">
        <v>0.4</v>
      </c>
      <c r="E206" s="44">
        <v>0.08</v>
      </c>
      <c r="F206" s="11">
        <v>1</v>
      </c>
      <c r="G206" s="14" t="s">
        <v>245</v>
      </c>
      <c r="H206" s="15" t="s">
        <v>34</v>
      </c>
      <c r="I206" s="11">
        <v>1980</v>
      </c>
      <c r="J206" s="16">
        <f t="shared" si="9"/>
        <v>360</v>
      </c>
      <c r="K206" s="16">
        <v>30</v>
      </c>
      <c r="L206" s="17">
        <f t="shared" ref="L206" si="29">J206/12</f>
        <v>30</v>
      </c>
      <c r="M206" s="17">
        <f t="shared" ref="M206" si="30">O$3-I206</f>
        <v>45</v>
      </c>
      <c r="N206" s="19">
        <f t="shared" ref="N206" si="31">M206/K206</f>
        <v>1.5</v>
      </c>
      <c r="O206" s="1">
        <f t="shared" ref="O206:O269" si="32">O205+1</f>
        <v>195</v>
      </c>
    </row>
    <row r="207" spans="1:18" x14ac:dyDescent="0.2">
      <c r="A207" s="409"/>
      <c r="B207" s="10" t="s">
        <v>244</v>
      </c>
      <c r="C207" s="13">
        <v>22</v>
      </c>
      <c r="D207" s="11">
        <v>0.4</v>
      </c>
      <c r="E207" s="44">
        <v>0.08</v>
      </c>
      <c r="F207" s="11">
        <v>1</v>
      </c>
      <c r="G207" s="14" t="s">
        <v>245</v>
      </c>
      <c r="H207" s="15" t="s">
        <v>34</v>
      </c>
      <c r="I207" s="11">
        <v>1980</v>
      </c>
      <c r="J207" s="16">
        <f t="shared" si="9"/>
        <v>360</v>
      </c>
      <c r="K207" s="16">
        <v>30</v>
      </c>
      <c r="L207" s="17">
        <f t="shared" ref="L207" si="33">J207/12</f>
        <v>30</v>
      </c>
      <c r="M207" s="17">
        <f t="shared" ref="M207" si="34">O$3-I207</f>
        <v>45</v>
      </c>
      <c r="N207" s="19">
        <f t="shared" ref="N207" si="35">M207/K207</f>
        <v>1.5</v>
      </c>
      <c r="O207" s="1">
        <f t="shared" si="32"/>
        <v>196</v>
      </c>
    </row>
    <row r="208" spans="1:18" x14ac:dyDescent="0.2">
      <c r="A208" s="409"/>
      <c r="B208" s="227" t="s">
        <v>246</v>
      </c>
      <c r="C208" s="228">
        <v>4</v>
      </c>
      <c r="D208" s="228">
        <v>0.4</v>
      </c>
      <c r="E208" s="228">
        <f>0.15/2</f>
        <v>7.4999999999999997E-2</v>
      </c>
      <c r="F208" s="228">
        <v>1</v>
      </c>
      <c r="G208" s="230" t="s">
        <v>247</v>
      </c>
      <c r="H208" s="231" t="s">
        <v>34</v>
      </c>
      <c r="I208" s="228">
        <v>2021</v>
      </c>
      <c r="J208" s="232">
        <f t="shared" si="9"/>
        <v>360</v>
      </c>
      <c r="K208" s="232">
        <v>30</v>
      </c>
      <c r="L208" s="18">
        <f t="shared" si="20"/>
        <v>30</v>
      </c>
      <c r="M208" s="18">
        <f t="shared" si="21"/>
        <v>4</v>
      </c>
      <c r="N208" s="19">
        <f t="shared" si="22"/>
        <v>0.13333333333333333</v>
      </c>
      <c r="O208" s="1">
        <f t="shared" si="32"/>
        <v>197</v>
      </c>
    </row>
    <row r="209" spans="1:15" x14ac:dyDescent="0.2">
      <c r="A209" s="409"/>
      <c r="B209" s="227" t="s">
        <v>246</v>
      </c>
      <c r="C209" s="228">
        <v>22</v>
      </c>
      <c r="D209" s="228">
        <v>0.4</v>
      </c>
      <c r="E209" s="228">
        <v>7.4999999999999997E-2</v>
      </c>
      <c r="F209" s="228">
        <v>1</v>
      </c>
      <c r="G209" s="230" t="s">
        <v>247</v>
      </c>
      <c r="H209" s="231" t="s">
        <v>34</v>
      </c>
      <c r="I209" s="228">
        <v>2021</v>
      </c>
      <c r="J209" s="232">
        <f t="shared" si="9"/>
        <v>360</v>
      </c>
      <c r="K209" s="232">
        <v>30</v>
      </c>
      <c r="L209" s="18">
        <f t="shared" ref="L209" si="36">J209/12</f>
        <v>30</v>
      </c>
      <c r="M209" s="18">
        <f t="shared" ref="M209" si="37">O$3-I209</f>
        <v>4</v>
      </c>
      <c r="N209" s="19">
        <f t="shared" ref="N209" si="38">M209/K209</f>
        <v>0.13333333333333333</v>
      </c>
      <c r="O209" s="1">
        <f t="shared" si="32"/>
        <v>198</v>
      </c>
    </row>
    <row r="210" spans="1:15" x14ac:dyDescent="0.2">
      <c r="A210" s="409"/>
      <c r="B210" s="227" t="s">
        <v>248</v>
      </c>
      <c r="C210" s="228">
        <v>8</v>
      </c>
      <c r="D210" s="228">
        <v>0.4</v>
      </c>
      <c r="E210" s="228">
        <f>0.65/2</f>
        <v>0.32500000000000001</v>
      </c>
      <c r="F210" s="228">
        <v>1</v>
      </c>
      <c r="G210" s="230" t="s">
        <v>249</v>
      </c>
      <c r="H210" s="231" t="s">
        <v>250</v>
      </c>
      <c r="I210" s="228">
        <v>2020</v>
      </c>
      <c r="J210" s="232">
        <f t="shared" ref="J210:J298" si="39">30*12</f>
        <v>360</v>
      </c>
      <c r="K210" s="232">
        <v>30</v>
      </c>
      <c r="L210" s="18">
        <f t="shared" si="20"/>
        <v>30</v>
      </c>
      <c r="M210" s="18">
        <f t="shared" si="21"/>
        <v>5</v>
      </c>
      <c r="N210" s="19">
        <f t="shared" si="22"/>
        <v>0.16666666666666666</v>
      </c>
      <c r="O210" s="1">
        <f t="shared" si="32"/>
        <v>199</v>
      </c>
    </row>
    <row r="211" spans="1:15" x14ac:dyDescent="0.2">
      <c r="A211" s="410"/>
      <c r="B211" s="227" t="s">
        <v>248</v>
      </c>
      <c r="C211" s="228">
        <v>19</v>
      </c>
      <c r="D211" s="228">
        <v>0.4</v>
      </c>
      <c r="E211" s="228">
        <v>0.32500000000000001</v>
      </c>
      <c r="F211" s="228">
        <v>1</v>
      </c>
      <c r="G211" s="230" t="s">
        <v>249</v>
      </c>
      <c r="H211" s="231" t="s">
        <v>250</v>
      </c>
      <c r="I211" s="228">
        <v>2020</v>
      </c>
      <c r="J211" s="232">
        <f t="shared" si="39"/>
        <v>360</v>
      </c>
      <c r="K211" s="232">
        <v>30</v>
      </c>
      <c r="L211" s="18">
        <f t="shared" ref="L211:L212" si="40">J211/12</f>
        <v>30</v>
      </c>
      <c r="M211" s="18">
        <f t="shared" ref="M211:M212" si="41">O$3-I211</f>
        <v>5</v>
      </c>
      <c r="N211" s="19">
        <f t="shared" ref="N211:N212" si="42">M211/K211</f>
        <v>0.16666666666666666</v>
      </c>
      <c r="O211" s="1">
        <f t="shared" si="32"/>
        <v>200</v>
      </c>
    </row>
    <row r="212" spans="1:15" x14ac:dyDescent="0.2">
      <c r="A212" s="410"/>
      <c r="B212" s="10" t="s">
        <v>251</v>
      </c>
      <c r="C212" s="13">
        <v>9</v>
      </c>
      <c r="D212" s="11">
        <v>0.4</v>
      </c>
      <c r="E212" s="13">
        <v>0.3</v>
      </c>
      <c r="F212" s="11">
        <v>1</v>
      </c>
      <c r="G212" s="14" t="s">
        <v>252</v>
      </c>
      <c r="H212" s="15" t="s">
        <v>250</v>
      </c>
      <c r="I212" s="11">
        <v>1992</v>
      </c>
      <c r="J212" s="16">
        <f t="shared" si="39"/>
        <v>360</v>
      </c>
      <c r="K212" s="16">
        <v>30</v>
      </c>
      <c r="L212" s="17">
        <f t="shared" si="40"/>
        <v>30</v>
      </c>
      <c r="M212" s="17">
        <f t="shared" si="41"/>
        <v>33</v>
      </c>
      <c r="N212" s="19">
        <f t="shared" si="42"/>
        <v>1.1000000000000001</v>
      </c>
      <c r="O212" s="1">
        <f t="shared" si="32"/>
        <v>201</v>
      </c>
    </row>
    <row r="213" spans="1:15" ht="13.5" thickBot="1" x14ac:dyDescent="0.25">
      <c r="A213" s="407"/>
      <c r="B213" s="25" t="s">
        <v>251</v>
      </c>
      <c r="C213" s="28">
        <v>16</v>
      </c>
      <c r="D213" s="26">
        <v>0.4</v>
      </c>
      <c r="E213" s="28">
        <v>0.3</v>
      </c>
      <c r="F213" s="26">
        <v>1</v>
      </c>
      <c r="G213" s="29" t="s">
        <v>252</v>
      </c>
      <c r="H213" s="47" t="s">
        <v>250</v>
      </c>
      <c r="I213" s="26">
        <v>1992</v>
      </c>
      <c r="J213" s="31">
        <f t="shared" si="39"/>
        <v>360</v>
      </c>
      <c r="K213" s="31">
        <v>30</v>
      </c>
      <c r="L213" s="32">
        <f t="shared" si="20"/>
        <v>30</v>
      </c>
      <c r="M213" s="32">
        <f t="shared" si="21"/>
        <v>33</v>
      </c>
      <c r="N213" s="33">
        <f t="shared" si="22"/>
        <v>1.1000000000000001</v>
      </c>
      <c r="O213" s="1">
        <f t="shared" si="32"/>
        <v>202</v>
      </c>
    </row>
    <row r="214" spans="1:15" x14ac:dyDescent="0.2">
      <c r="A214" s="398">
        <v>21</v>
      </c>
      <c r="B214" s="279" t="s">
        <v>253</v>
      </c>
      <c r="C214" s="278">
        <v>3</v>
      </c>
      <c r="D214" s="278">
        <v>0.4</v>
      </c>
      <c r="E214" s="278">
        <v>0.32</v>
      </c>
      <c r="F214" s="278">
        <v>1</v>
      </c>
      <c r="G214" s="279" t="s">
        <v>254</v>
      </c>
      <c r="H214" s="280" t="s">
        <v>34</v>
      </c>
      <c r="I214" s="278">
        <v>2014</v>
      </c>
      <c r="J214" s="367">
        <f t="shared" si="39"/>
        <v>360</v>
      </c>
      <c r="K214" s="367">
        <v>30</v>
      </c>
      <c r="L214" s="368">
        <f>J214/12</f>
        <v>30</v>
      </c>
      <c r="M214" s="368">
        <f>O$3-I214</f>
        <v>11</v>
      </c>
      <c r="N214" s="43">
        <f>M214/K214</f>
        <v>0.36666666666666664</v>
      </c>
      <c r="O214" s="1">
        <f t="shared" si="32"/>
        <v>203</v>
      </c>
    </row>
    <row r="215" spans="1:15" ht="33" customHeight="1" thickBot="1" x14ac:dyDescent="0.25">
      <c r="A215" s="399"/>
      <c r="B215" s="271" t="s">
        <v>253</v>
      </c>
      <c r="C215" s="269">
        <v>19</v>
      </c>
      <c r="D215" s="269">
        <v>0.4</v>
      </c>
      <c r="E215" s="269">
        <v>0.33</v>
      </c>
      <c r="F215" s="269">
        <v>1</v>
      </c>
      <c r="G215" s="271" t="s">
        <v>254</v>
      </c>
      <c r="H215" s="287" t="s">
        <v>34</v>
      </c>
      <c r="I215" s="269">
        <v>2014</v>
      </c>
      <c r="J215" s="369">
        <f t="shared" si="39"/>
        <v>360</v>
      </c>
      <c r="K215" s="369">
        <v>30</v>
      </c>
      <c r="L215" s="370">
        <f t="shared" si="20"/>
        <v>30</v>
      </c>
      <c r="M215" s="370">
        <f t="shared" si="21"/>
        <v>11</v>
      </c>
      <c r="N215" s="33">
        <f t="shared" si="22"/>
        <v>0.36666666666666664</v>
      </c>
      <c r="O215" s="1">
        <f t="shared" si="32"/>
        <v>204</v>
      </c>
    </row>
    <row r="216" spans="1:15" x14ac:dyDescent="0.2">
      <c r="A216" s="406">
        <v>22</v>
      </c>
      <c r="B216" s="244" t="s">
        <v>255</v>
      </c>
      <c r="C216" s="245">
        <v>1</v>
      </c>
      <c r="D216" s="246">
        <v>0.4</v>
      </c>
      <c r="E216" s="258">
        <v>0.09</v>
      </c>
      <c r="F216" s="259">
        <v>1</v>
      </c>
      <c r="G216" s="260" t="s">
        <v>256</v>
      </c>
      <c r="H216" s="249" t="s">
        <v>34</v>
      </c>
      <c r="I216" s="245">
        <v>2023</v>
      </c>
      <c r="J216" s="250">
        <f t="shared" si="39"/>
        <v>360</v>
      </c>
      <c r="K216" s="250">
        <v>30</v>
      </c>
      <c r="L216" s="42">
        <f t="shared" si="20"/>
        <v>30</v>
      </c>
      <c r="M216" s="42">
        <f t="shared" si="21"/>
        <v>2</v>
      </c>
      <c r="N216" s="43">
        <f t="shared" si="22"/>
        <v>6.6666666666666666E-2</v>
      </c>
      <c r="O216" s="1">
        <f t="shared" si="32"/>
        <v>205</v>
      </c>
    </row>
    <row r="217" spans="1:15" x14ac:dyDescent="0.2">
      <c r="A217" s="408"/>
      <c r="B217" s="227" t="s">
        <v>255</v>
      </c>
      <c r="C217" s="228">
        <v>21</v>
      </c>
      <c r="D217" s="229">
        <v>0.4</v>
      </c>
      <c r="E217" s="261">
        <f>0.19-E216</f>
        <v>0.1</v>
      </c>
      <c r="F217" s="236">
        <v>1</v>
      </c>
      <c r="G217" s="252" t="s">
        <v>256</v>
      </c>
      <c r="H217" s="231" t="s">
        <v>34</v>
      </c>
      <c r="I217" s="228">
        <v>2023</v>
      </c>
      <c r="J217" s="232">
        <f t="shared" si="39"/>
        <v>360</v>
      </c>
      <c r="K217" s="232">
        <v>30</v>
      </c>
      <c r="L217" s="18">
        <f>J217/12</f>
        <v>30</v>
      </c>
      <c r="M217" s="18">
        <f>O$3-I217</f>
        <v>2</v>
      </c>
      <c r="N217" s="19">
        <f>M217/K217</f>
        <v>6.6666666666666666E-2</v>
      </c>
      <c r="O217" s="1">
        <f t="shared" si="32"/>
        <v>206</v>
      </c>
    </row>
    <row r="218" spans="1:15" x14ac:dyDescent="0.2">
      <c r="A218" s="409"/>
      <c r="B218" s="262" t="s">
        <v>257</v>
      </c>
      <c r="C218" s="263">
        <v>9</v>
      </c>
      <c r="D218" s="264">
        <v>0.4</v>
      </c>
      <c r="E218" s="263">
        <v>0.3</v>
      </c>
      <c r="F218" s="264">
        <v>1</v>
      </c>
      <c r="G218" s="265" t="s">
        <v>258</v>
      </c>
      <c r="H218" s="275" t="s">
        <v>259</v>
      </c>
      <c r="I218" s="263">
        <v>2012</v>
      </c>
      <c r="J218" s="266">
        <f t="shared" si="39"/>
        <v>360</v>
      </c>
      <c r="K218" s="266">
        <v>30</v>
      </c>
      <c r="L218" s="267">
        <f t="shared" si="20"/>
        <v>30</v>
      </c>
      <c r="M218" s="267">
        <f t="shared" si="21"/>
        <v>13</v>
      </c>
      <c r="N218" s="19">
        <f t="shared" si="22"/>
        <v>0.43333333333333335</v>
      </c>
      <c r="O218" s="1">
        <f t="shared" si="32"/>
        <v>207</v>
      </c>
    </row>
    <row r="219" spans="1:15" x14ac:dyDescent="0.2">
      <c r="A219" s="409"/>
      <c r="B219" s="262" t="s">
        <v>257</v>
      </c>
      <c r="C219" s="263">
        <v>21</v>
      </c>
      <c r="D219" s="264">
        <v>0.4</v>
      </c>
      <c r="E219" s="263">
        <v>0.3</v>
      </c>
      <c r="F219" s="264">
        <v>1</v>
      </c>
      <c r="G219" s="265" t="s">
        <v>258</v>
      </c>
      <c r="H219" s="275" t="s">
        <v>259</v>
      </c>
      <c r="I219" s="263">
        <v>2012</v>
      </c>
      <c r="J219" s="266">
        <f t="shared" si="39"/>
        <v>360</v>
      </c>
      <c r="K219" s="266">
        <v>30</v>
      </c>
      <c r="L219" s="267">
        <f t="shared" si="20"/>
        <v>30</v>
      </c>
      <c r="M219" s="267">
        <f t="shared" si="21"/>
        <v>13</v>
      </c>
      <c r="N219" s="19">
        <f t="shared" si="22"/>
        <v>0.43333333333333335</v>
      </c>
      <c r="O219" s="1">
        <f t="shared" si="32"/>
        <v>208</v>
      </c>
    </row>
    <row r="220" spans="1:15" x14ac:dyDescent="0.2">
      <c r="A220" s="409"/>
      <c r="B220" s="227" t="s">
        <v>260</v>
      </c>
      <c r="C220" s="228">
        <v>4</v>
      </c>
      <c r="D220" s="229">
        <v>0.4</v>
      </c>
      <c r="E220" s="228">
        <v>0.23499999999999999</v>
      </c>
      <c r="F220" s="229">
        <v>1</v>
      </c>
      <c r="G220" s="230" t="s">
        <v>687</v>
      </c>
      <c r="H220" s="231" t="s">
        <v>688</v>
      </c>
      <c r="I220" s="228">
        <v>2024</v>
      </c>
      <c r="J220" s="232">
        <f t="shared" si="39"/>
        <v>360</v>
      </c>
      <c r="K220" s="232">
        <v>30</v>
      </c>
      <c r="L220" s="18">
        <f t="shared" si="20"/>
        <v>30</v>
      </c>
      <c r="M220" s="18">
        <f t="shared" si="21"/>
        <v>1</v>
      </c>
      <c r="N220" s="19">
        <f t="shared" si="22"/>
        <v>3.3333333333333333E-2</v>
      </c>
      <c r="O220" s="1">
        <f t="shared" si="32"/>
        <v>209</v>
      </c>
    </row>
    <row r="221" spans="1:15" x14ac:dyDescent="0.2">
      <c r="A221" s="409"/>
      <c r="B221" s="227" t="s">
        <v>260</v>
      </c>
      <c r="C221" s="228">
        <v>22</v>
      </c>
      <c r="D221" s="229">
        <v>0.4</v>
      </c>
      <c r="E221" s="228">
        <v>0.23499999999999999</v>
      </c>
      <c r="F221" s="229">
        <v>1</v>
      </c>
      <c r="G221" s="230" t="s">
        <v>687</v>
      </c>
      <c r="H221" s="231" t="s">
        <v>688</v>
      </c>
      <c r="I221" s="228">
        <v>2024</v>
      </c>
      <c r="J221" s="232">
        <f t="shared" si="39"/>
        <v>360</v>
      </c>
      <c r="K221" s="232">
        <v>30</v>
      </c>
      <c r="L221" s="18">
        <f>J221/12</f>
        <v>30</v>
      </c>
      <c r="M221" s="18">
        <f>O$3-I221</f>
        <v>1</v>
      </c>
      <c r="N221" s="19">
        <f>M221/K221</f>
        <v>3.3333333333333333E-2</v>
      </c>
      <c r="O221" s="1">
        <f t="shared" si="32"/>
        <v>210</v>
      </c>
    </row>
    <row r="222" spans="1:15" x14ac:dyDescent="0.2">
      <c r="A222" s="409"/>
      <c r="B222" s="10" t="s">
        <v>261</v>
      </c>
      <c r="C222" s="13">
        <v>7</v>
      </c>
      <c r="D222" s="12">
        <v>0.4</v>
      </c>
      <c r="E222" s="13">
        <v>0.1</v>
      </c>
      <c r="F222" s="51">
        <v>1</v>
      </c>
      <c r="G222" s="14" t="s">
        <v>262</v>
      </c>
      <c r="H222" s="15" t="s">
        <v>52</v>
      </c>
      <c r="I222" s="11">
        <v>1986</v>
      </c>
      <c r="J222" s="16">
        <f t="shared" si="39"/>
        <v>360</v>
      </c>
      <c r="K222" s="16">
        <v>30</v>
      </c>
      <c r="L222" s="17">
        <f t="shared" si="20"/>
        <v>30</v>
      </c>
      <c r="M222" s="17">
        <f t="shared" si="21"/>
        <v>39</v>
      </c>
      <c r="N222" s="19">
        <f t="shared" si="22"/>
        <v>1.3</v>
      </c>
      <c r="O222" s="1">
        <f t="shared" si="32"/>
        <v>211</v>
      </c>
    </row>
    <row r="223" spans="1:15" x14ac:dyDescent="0.2">
      <c r="A223" s="409"/>
      <c r="B223" s="10" t="s">
        <v>261</v>
      </c>
      <c r="C223" s="13">
        <v>7</v>
      </c>
      <c r="D223" s="12">
        <v>0.4</v>
      </c>
      <c r="E223" s="13">
        <v>0.1</v>
      </c>
      <c r="F223" s="51">
        <v>1</v>
      </c>
      <c r="G223" s="14" t="s">
        <v>262</v>
      </c>
      <c r="H223" s="15" t="s">
        <v>52</v>
      </c>
      <c r="I223" s="11">
        <v>1986</v>
      </c>
      <c r="J223" s="16">
        <f t="shared" si="39"/>
        <v>360</v>
      </c>
      <c r="K223" s="16">
        <v>30</v>
      </c>
      <c r="L223" s="17">
        <f>J223/12</f>
        <v>30</v>
      </c>
      <c r="M223" s="17">
        <f>O$3-I223</f>
        <v>39</v>
      </c>
      <c r="N223" s="19">
        <f>M223/K223</f>
        <v>1.3</v>
      </c>
      <c r="O223" s="1">
        <f t="shared" si="32"/>
        <v>212</v>
      </c>
    </row>
    <row r="224" spans="1:15" x14ac:dyDescent="0.2">
      <c r="A224" s="409"/>
      <c r="B224" s="10" t="s">
        <v>261</v>
      </c>
      <c r="C224" s="13">
        <v>19</v>
      </c>
      <c r="D224" s="12">
        <v>0.4</v>
      </c>
      <c r="E224" s="13">
        <v>0.1</v>
      </c>
      <c r="F224" s="51">
        <v>1</v>
      </c>
      <c r="G224" s="14" t="s">
        <v>262</v>
      </c>
      <c r="H224" s="15" t="s">
        <v>52</v>
      </c>
      <c r="I224" s="11">
        <v>1986</v>
      </c>
      <c r="J224" s="16">
        <f t="shared" si="39"/>
        <v>360</v>
      </c>
      <c r="K224" s="16">
        <v>30</v>
      </c>
      <c r="L224" s="17">
        <f>J224/12</f>
        <v>30</v>
      </c>
      <c r="M224" s="17">
        <f>O$3-I224</f>
        <v>39</v>
      </c>
      <c r="N224" s="19">
        <f>M224/K224</f>
        <v>1.3</v>
      </c>
      <c r="O224" s="1">
        <f t="shared" si="32"/>
        <v>213</v>
      </c>
    </row>
    <row r="225" spans="1:15" x14ac:dyDescent="0.2">
      <c r="A225" s="409"/>
      <c r="B225" s="10" t="s">
        <v>261</v>
      </c>
      <c r="C225" s="13">
        <v>19</v>
      </c>
      <c r="D225" s="12">
        <v>0.4</v>
      </c>
      <c r="E225" s="13">
        <v>0.1</v>
      </c>
      <c r="F225" s="51">
        <v>1</v>
      </c>
      <c r="G225" s="14" t="s">
        <v>262</v>
      </c>
      <c r="H225" s="15" t="s">
        <v>52</v>
      </c>
      <c r="I225" s="11">
        <v>1986</v>
      </c>
      <c r="J225" s="16">
        <f t="shared" si="39"/>
        <v>360</v>
      </c>
      <c r="K225" s="16">
        <v>30</v>
      </c>
      <c r="L225" s="17">
        <f>J225/12</f>
        <v>30</v>
      </c>
      <c r="M225" s="17">
        <f>O$3-I225</f>
        <v>39</v>
      </c>
      <c r="N225" s="19">
        <f>M225/K225</f>
        <v>1.3</v>
      </c>
      <c r="O225" s="1">
        <f t="shared" si="32"/>
        <v>214</v>
      </c>
    </row>
    <row r="226" spans="1:15" x14ac:dyDescent="0.2">
      <c r="A226" s="409"/>
      <c r="B226" s="262" t="s">
        <v>263</v>
      </c>
      <c r="C226" s="263">
        <v>2</v>
      </c>
      <c r="D226" s="264">
        <v>0.4</v>
      </c>
      <c r="E226" s="263">
        <v>0.2</v>
      </c>
      <c r="F226" s="264">
        <v>1</v>
      </c>
      <c r="G226" s="265" t="s">
        <v>79</v>
      </c>
      <c r="H226" s="275" t="s">
        <v>52</v>
      </c>
      <c r="I226" s="263">
        <v>2008</v>
      </c>
      <c r="J226" s="266">
        <f t="shared" si="39"/>
        <v>360</v>
      </c>
      <c r="K226" s="266">
        <v>30</v>
      </c>
      <c r="L226" s="267">
        <f t="shared" si="20"/>
        <v>30</v>
      </c>
      <c r="M226" s="267">
        <f t="shared" si="21"/>
        <v>17</v>
      </c>
      <c r="N226" s="19">
        <f t="shared" si="22"/>
        <v>0.56666666666666665</v>
      </c>
      <c r="O226" s="1">
        <f t="shared" si="32"/>
        <v>215</v>
      </c>
    </row>
    <row r="227" spans="1:15" x14ac:dyDescent="0.2">
      <c r="A227" s="409"/>
      <c r="B227" s="262" t="s">
        <v>263</v>
      </c>
      <c r="C227" s="263">
        <v>23</v>
      </c>
      <c r="D227" s="264">
        <v>0.4</v>
      </c>
      <c r="E227" s="263">
        <v>0.2</v>
      </c>
      <c r="F227" s="264">
        <v>1</v>
      </c>
      <c r="G227" s="265" t="s">
        <v>79</v>
      </c>
      <c r="H227" s="275" t="s">
        <v>52</v>
      </c>
      <c r="I227" s="263">
        <v>2008</v>
      </c>
      <c r="J227" s="266">
        <f t="shared" si="39"/>
        <v>360</v>
      </c>
      <c r="K227" s="266">
        <v>30</v>
      </c>
      <c r="L227" s="267">
        <f>J227/12</f>
        <v>30</v>
      </c>
      <c r="M227" s="267">
        <f>O$3-I227</f>
        <v>17</v>
      </c>
      <c r="N227" s="19">
        <f>M227/K227</f>
        <v>0.56666666666666665</v>
      </c>
      <c r="O227" s="1">
        <f t="shared" si="32"/>
        <v>216</v>
      </c>
    </row>
    <row r="228" spans="1:15" ht="25.5" x14ac:dyDescent="0.2">
      <c r="A228" s="409"/>
      <c r="B228" s="10" t="s">
        <v>264</v>
      </c>
      <c r="C228" s="13">
        <v>11</v>
      </c>
      <c r="D228" s="12">
        <v>0.4</v>
      </c>
      <c r="E228" s="13">
        <v>0.17</v>
      </c>
      <c r="F228" s="51">
        <v>1</v>
      </c>
      <c r="G228" s="14" t="s">
        <v>72</v>
      </c>
      <c r="H228" s="15" t="s">
        <v>265</v>
      </c>
      <c r="I228" s="11">
        <v>1987</v>
      </c>
      <c r="J228" s="16">
        <f t="shared" si="39"/>
        <v>360</v>
      </c>
      <c r="K228" s="16">
        <v>30</v>
      </c>
      <c r="L228" s="17">
        <f t="shared" si="20"/>
        <v>30</v>
      </c>
      <c r="M228" s="17">
        <f t="shared" si="21"/>
        <v>38</v>
      </c>
      <c r="N228" s="19">
        <f t="shared" si="22"/>
        <v>1.2666666666666666</v>
      </c>
      <c r="O228" s="1">
        <f t="shared" si="32"/>
        <v>217</v>
      </c>
    </row>
    <row r="229" spans="1:15" ht="25.5" x14ac:dyDescent="0.2">
      <c r="A229" s="409"/>
      <c r="B229" s="10" t="s">
        <v>264</v>
      </c>
      <c r="C229" s="13">
        <v>17</v>
      </c>
      <c r="D229" s="12">
        <v>0.4</v>
      </c>
      <c r="E229" s="13">
        <v>0.17</v>
      </c>
      <c r="F229" s="51">
        <v>1</v>
      </c>
      <c r="G229" s="14" t="s">
        <v>72</v>
      </c>
      <c r="H229" s="15" t="s">
        <v>265</v>
      </c>
      <c r="I229" s="11">
        <v>1987</v>
      </c>
      <c r="J229" s="16">
        <f t="shared" si="39"/>
        <v>360</v>
      </c>
      <c r="K229" s="16">
        <v>30</v>
      </c>
      <c r="L229" s="17">
        <f>J229/12</f>
        <v>30</v>
      </c>
      <c r="M229" s="17">
        <f>O$3-I229</f>
        <v>38</v>
      </c>
      <c r="N229" s="19">
        <f>M229/K229</f>
        <v>1.2666666666666666</v>
      </c>
      <c r="O229" s="1">
        <f t="shared" si="32"/>
        <v>218</v>
      </c>
    </row>
    <row r="230" spans="1:15" ht="25.5" x14ac:dyDescent="0.2">
      <c r="A230" s="409"/>
      <c r="B230" s="10" t="s">
        <v>266</v>
      </c>
      <c r="C230" s="13">
        <v>10</v>
      </c>
      <c r="D230" s="12">
        <v>0.4</v>
      </c>
      <c r="E230" s="13">
        <v>0.11</v>
      </c>
      <c r="F230" s="12">
        <v>1</v>
      </c>
      <c r="G230" s="14" t="s">
        <v>205</v>
      </c>
      <c r="H230" s="15" t="s">
        <v>265</v>
      </c>
      <c r="I230" s="11">
        <v>1987</v>
      </c>
      <c r="J230" s="16">
        <f t="shared" si="39"/>
        <v>360</v>
      </c>
      <c r="K230" s="16">
        <v>30</v>
      </c>
      <c r="L230" s="17">
        <f t="shared" si="20"/>
        <v>30</v>
      </c>
      <c r="M230" s="17">
        <f t="shared" si="21"/>
        <v>38</v>
      </c>
      <c r="N230" s="19">
        <f t="shared" si="22"/>
        <v>1.2666666666666666</v>
      </c>
      <c r="O230" s="1">
        <f t="shared" si="32"/>
        <v>219</v>
      </c>
    </row>
    <row r="231" spans="1:15" ht="25.5" x14ac:dyDescent="0.2">
      <c r="A231" s="410"/>
      <c r="B231" s="10" t="s">
        <v>266</v>
      </c>
      <c r="C231" s="13">
        <v>16</v>
      </c>
      <c r="D231" s="12">
        <v>0.4</v>
      </c>
      <c r="E231" s="13">
        <v>0.11</v>
      </c>
      <c r="F231" s="12">
        <v>1</v>
      </c>
      <c r="G231" s="14" t="s">
        <v>205</v>
      </c>
      <c r="H231" s="15" t="s">
        <v>265</v>
      </c>
      <c r="I231" s="11">
        <v>1987</v>
      </c>
      <c r="J231" s="16">
        <f t="shared" si="39"/>
        <v>360</v>
      </c>
      <c r="K231" s="16">
        <v>30</v>
      </c>
      <c r="L231" s="17">
        <f>J231/12</f>
        <v>30</v>
      </c>
      <c r="M231" s="17">
        <f>O$3-I231</f>
        <v>38</v>
      </c>
      <c r="N231" s="19">
        <f>M231/K231</f>
        <v>1.2666666666666666</v>
      </c>
      <c r="O231" s="1">
        <f t="shared" si="32"/>
        <v>220</v>
      </c>
    </row>
    <row r="232" spans="1:15" x14ac:dyDescent="0.2">
      <c r="A232" s="410"/>
      <c r="B232" s="58" t="s">
        <v>267</v>
      </c>
      <c r="C232" s="13" t="s">
        <v>268</v>
      </c>
      <c r="D232" s="12">
        <v>0.4</v>
      </c>
      <c r="E232" s="13">
        <f>0.32/2</f>
        <v>0.16</v>
      </c>
      <c r="F232" s="12">
        <v>1</v>
      </c>
      <c r="G232" s="14" t="s">
        <v>269</v>
      </c>
      <c r="H232" s="15" t="s">
        <v>270</v>
      </c>
      <c r="I232" s="11">
        <v>1994</v>
      </c>
      <c r="J232" s="16">
        <f t="shared" si="39"/>
        <v>360</v>
      </c>
      <c r="K232" s="16">
        <v>30</v>
      </c>
      <c r="L232" s="17">
        <f>J232/12</f>
        <v>30</v>
      </c>
      <c r="M232" s="17">
        <f>O$3-I232</f>
        <v>31</v>
      </c>
      <c r="N232" s="19">
        <f>M232/K232</f>
        <v>1.0333333333333334</v>
      </c>
      <c r="O232" s="1">
        <f t="shared" si="32"/>
        <v>221</v>
      </c>
    </row>
    <row r="233" spans="1:15" ht="13.5" thickBot="1" x14ac:dyDescent="0.25">
      <c r="A233" s="407"/>
      <c r="B233" s="67" t="s">
        <v>267</v>
      </c>
      <c r="C233" s="28" t="s">
        <v>268</v>
      </c>
      <c r="D233" s="27">
        <v>0.4</v>
      </c>
      <c r="E233" s="28">
        <v>0.16</v>
      </c>
      <c r="F233" s="27">
        <v>1</v>
      </c>
      <c r="G233" s="29" t="s">
        <v>269</v>
      </c>
      <c r="H233" s="47" t="s">
        <v>270</v>
      </c>
      <c r="I233" s="26">
        <v>1994</v>
      </c>
      <c r="J233" s="31">
        <f t="shared" si="39"/>
        <v>360</v>
      </c>
      <c r="K233" s="31">
        <v>30</v>
      </c>
      <c r="L233" s="32">
        <f t="shared" si="20"/>
        <v>30</v>
      </c>
      <c r="M233" s="32">
        <f t="shared" si="21"/>
        <v>31</v>
      </c>
      <c r="N233" s="33">
        <f t="shared" si="22"/>
        <v>1.0333333333333334</v>
      </c>
      <c r="O233" s="1">
        <f t="shared" si="32"/>
        <v>222</v>
      </c>
    </row>
    <row r="234" spans="1:15" x14ac:dyDescent="0.2">
      <c r="A234" s="406">
        <v>23</v>
      </c>
      <c r="B234" s="34" t="s">
        <v>271</v>
      </c>
      <c r="C234" s="37">
        <v>8</v>
      </c>
      <c r="D234" s="35">
        <v>0.4</v>
      </c>
      <c r="E234" s="37">
        <f>0.51/2</f>
        <v>0.255</v>
      </c>
      <c r="F234" s="35">
        <v>1</v>
      </c>
      <c r="G234" s="38" t="s">
        <v>272</v>
      </c>
      <c r="H234" s="39" t="s">
        <v>270</v>
      </c>
      <c r="I234" s="35">
        <v>1990</v>
      </c>
      <c r="J234" s="40">
        <f t="shared" si="39"/>
        <v>360</v>
      </c>
      <c r="K234" s="40">
        <v>30</v>
      </c>
      <c r="L234" s="41">
        <f t="shared" si="20"/>
        <v>30</v>
      </c>
      <c r="M234" s="41">
        <f t="shared" si="21"/>
        <v>35</v>
      </c>
      <c r="N234" s="43">
        <f t="shared" si="22"/>
        <v>1.1666666666666667</v>
      </c>
      <c r="O234" s="1">
        <f t="shared" si="32"/>
        <v>223</v>
      </c>
    </row>
    <row r="235" spans="1:15" x14ac:dyDescent="0.2">
      <c r="A235" s="408"/>
      <c r="B235" s="10" t="s">
        <v>271</v>
      </c>
      <c r="C235" s="13">
        <v>21</v>
      </c>
      <c r="D235" s="11">
        <v>0.4</v>
      </c>
      <c r="E235" s="13">
        <v>0.255</v>
      </c>
      <c r="F235" s="11">
        <v>1</v>
      </c>
      <c r="G235" s="14" t="s">
        <v>272</v>
      </c>
      <c r="H235" s="15" t="s">
        <v>270</v>
      </c>
      <c r="I235" s="11">
        <v>1990</v>
      </c>
      <c r="J235" s="16">
        <f t="shared" si="39"/>
        <v>360</v>
      </c>
      <c r="K235" s="16">
        <v>30</v>
      </c>
      <c r="L235" s="17">
        <f t="shared" ref="L235" si="43">J235/12</f>
        <v>30</v>
      </c>
      <c r="M235" s="17">
        <f t="shared" ref="M235" si="44">O$3-I235</f>
        <v>35</v>
      </c>
      <c r="N235" s="19">
        <f t="shared" ref="N235" si="45">M235/K235</f>
        <v>1.1666666666666667</v>
      </c>
      <c r="O235" s="1">
        <f t="shared" si="32"/>
        <v>224</v>
      </c>
    </row>
    <row r="236" spans="1:15" x14ac:dyDescent="0.2">
      <c r="A236" s="409"/>
      <c r="B236" s="10" t="s">
        <v>273</v>
      </c>
      <c r="C236" s="13">
        <v>6</v>
      </c>
      <c r="D236" s="11">
        <v>0.4</v>
      </c>
      <c r="E236" s="13">
        <v>0.12</v>
      </c>
      <c r="F236" s="11">
        <v>1</v>
      </c>
      <c r="G236" s="14" t="s">
        <v>274</v>
      </c>
      <c r="H236" s="15" t="s">
        <v>34</v>
      </c>
      <c r="I236" s="11">
        <v>1991</v>
      </c>
      <c r="J236" s="16">
        <f t="shared" si="39"/>
        <v>360</v>
      </c>
      <c r="K236" s="16">
        <v>30</v>
      </c>
      <c r="L236" s="17">
        <f t="shared" si="20"/>
        <v>30</v>
      </c>
      <c r="M236" s="17">
        <f t="shared" si="21"/>
        <v>34</v>
      </c>
      <c r="N236" s="19">
        <f t="shared" si="22"/>
        <v>1.1333333333333333</v>
      </c>
      <c r="O236" s="1">
        <f t="shared" si="32"/>
        <v>225</v>
      </c>
    </row>
    <row r="237" spans="1:15" x14ac:dyDescent="0.2">
      <c r="A237" s="409"/>
      <c r="B237" s="10" t="s">
        <v>273</v>
      </c>
      <c r="C237" s="13">
        <v>18</v>
      </c>
      <c r="D237" s="11">
        <v>0.4</v>
      </c>
      <c r="E237" s="13">
        <v>0.12</v>
      </c>
      <c r="F237" s="11">
        <v>1</v>
      </c>
      <c r="G237" s="14" t="s">
        <v>274</v>
      </c>
      <c r="H237" s="15" t="s">
        <v>34</v>
      </c>
      <c r="I237" s="11">
        <v>1991</v>
      </c>
      <c r="J237" s="16">
        <f t="shared" si="39"/>
        <v>360</v>
      </c>
      <c r="K237" s="16">
        <v>30</v>
      </c>
      <c r="L237" s="17">
        <f t="shared" ref="L237" si="46">J237/12</f>
        <v>30</v>
      </c>
      <c r="M237" s="17">
        <f t="shared" ref="M237" si="47">O$3-I237</f>
        <v>34</v>
      </c>
      <c r="N237" s="19">
        <f t="shared" ref="N237" si="48">M237/K237</f>
        <v>1.1333333333333333</v>
      </c>
      <c r="O237" s="1">
        <f t="shared" si="32"/>
        <v>226</v>
      </c>
    </row>
    <row r="238" spans="1:15" x14ac:dyDescent="0.2">
      <c r="A238" s="409"/>
      <c r="B238" s="10" t="s">
        <v>275</v>
      </c>
      <c r="C238" s="13">
        <v>5</v>
      </c>
      <c r="D238" s="11">
        <v>0.4</v>
      </c>
      <c r="E238" s="13">
        <f>0.11/2</f>
        <v>5.5E-2</v>
      </c>
      <c r="F238" s="11">
        <v>1</v>
      </c>
      <c r="G238" s="14" t="s">
        <v>276</v>
      </c>
      <c r="H238" s="15" t="s">
        <v>34</v>
      </c>
      <c r="I238" s="11">
        <v>1992</v>
      </c>
      <c r="J238" s="16">
        <f t="shared" si="39"/>
        <v>360</v>
      </c>
      <c r="K238" s="16">
        <v>30</v>
      </c>
      <c r="L238" s="17">
        <f t="shared" si="20"/>
        <v>30</v>
      </c>
      <c r="M238" s="17">
        <f t="shared" si="21"/>
        <v>33</v>
      </c>
      <c r="N238" s="19">
        <f t="shared" si="22"/>
        <v>1.1000000000000001</v>
      </c>
      <c r="O238" s="1">
        <f t="shared" si="32"/>
        <v>227</v>
      </c>
    </row>
    <row r="239" spans="1:15" x14ac:dyDescent="0.2">
      <c r="A239" s="409"/>
      <c r="B239" s="10" t="s">
        <v>275</v>
      </c>
      <c r="C239" s="13">
        <v>16</v>
      </c>
      <c r="D239" s="11">
        <v>0.4</v>
      </c>
      <c r="E239" s="13">
        <v>5.5E-2</v>
      </c>
      <c r="F239" s="11">
        <v>1</v>
      </c>
      <c r="G239" s="14" t="s">
        <v>276</v>
      </c>
      <c r="H239" s="15" t="s">
        <v>34</v>
      </c>
      <c r="I239" s="11">
        <v>1992</v>
      </c>
      <c r="J239" s="16">
        <f t="shared" si="39"/>
        <v>360</v>
      </c>
      <c r="K239" s="16">
        <v>30</v>
      </c>
      <c r="L239" s="17">
        <f t="shared" ref="L239" si="49">J239/12</f>
        <v>30</v>
      </c>
      <c r="M239" s="17">
        <f t="shared" ref="M239" si="50">O$3-I239</f>
        <v>33</v>
      </c>
      <c r="N239" s="19">
        <f t="shared" ref="N239" si="51">M239/K239</f>
        <v>1.1000000000000001</v>
      </c>
      <c r="O239" s="1">
        <f t="shared" si="32"/>
        <v>228</v>
      </c>
    </row>
    <row r="240" spans="1:15" x14ac:dyDescent="0.2">
      <c r="A240" s="409"/>
      <c r="B240" s="10" t="s">
        <v>277</v>
      </c>
      <c r="C240" s="65">
        <v>4</v>
      </c>
      <c r="D240" s="11">
        <v>0.4</v>
      </c>
      <c r="E240" s="13">
        <v>0.28499999999999998</v>
      </c>
      <c r="F240" s="11">
        <v>1</v>
      </c>
      <c r="G240" s="14" t="s">
        <v>278</v>
      </c>
      <c r="H240" s="15" t="s">
        <v>270</v>
      </c>
      <c r="I240" s="11">
        <v>1989</v>
      </c>
      <c r="J240" s="16">
        <f t="shared" si="39"/>
        <v>360</v>
      </c>
      <c r="K240" s="16">
        <v>30</v>
      </c>
      <c r="L240" s="17">
        <f t="shared" si="20"/>
        <v>30</v>
      </c>
      <c r="M240" s="17">
        <f t="shared" si="21"/>
        <v>36</v>
      </c>
      <c r="N240" s="19">
        <f t="shared" si="22"/>
        <v>1.2</v>
      </c>
      <c r="O240" s="1">
        <f t="shared" si="32"/>
        <v>229</v>
      </c>
    </row>
    <row r="241" spans="1:15" x14ac:dyDescent="0.2">
      <c r="A241" s="409"/>
      <c r="B241" s="10" t="s">
        <v>277</v>
      </c>
      <c r="C241" s="65">
        <v>4</v>
      </c>
      <c r="D241" s="11">
        <v>0.4</v>
      </c>
      <c r="E241" s="13">
        <v>0.28499999999999998</v>
      </c>
      <c r="F241" s="11">
        <v>1</v>
      </c>
      <c r="G241" s="14" t="s">
        <v>278</v>
      </c>
      <c r="H241" s="15" t="s">
        <v>270</v>
      </c>
      <c r="I241" s="11">
        <v>1989</v>
      </c>
      <c r="J241" s="16">
        <f t="shared" si="39"/>
        <v>360</v>
      </c>
      <c r="K241" s="16">
        <v>30</v>
      </c>
      <c r="L241" s="17">
        <f t="shared" ref="L241" si="52">J241/12</f>
        <v>30</v>
      </c>
      <c r="M241" s="17">
        <f t="shared" ref="M241" si="53">O$3-I241</f>
        <v>36</v>
      </c>
      <c r="N241" s="19">
        <f t="shared" ref="N241" si="54">M241/K241</f>
        <v>1.2</v>
      </c>
      <c r="O241" s="1">
        <f t="shared" si="32"/>
        <v>230</v>
      </c>
    </row>
    <row r="242" spans="1:15" x14ac:dyDescent="0.2">
      <c r="A242" s="409"/>
      <c r="B242" s="10" t="s">
        <v>277</v>
      </c>
      <c r="C242" s="65">
        <v>20</v>
      </c>
      <c r="D242" s="11">
        <v>0.4</v>
      </c>
      <c r="E242" s="13">
        <v>0.28499999999999998</v>
      </c>
      <c r="F242" s="11">
        <v>1</v>
      </c>
      <c r="G242" s="14" t="s">
        <v>278</v>
      </c>
      <c r="H242" s="15" t="s">
        <v>270</v>
      </c>
      <c r="I242" s="11">
        <v>1989</v>
      </c>
      <c r="J242" s="16">
        <f t="shared" si="39"/>
        <v>360</v>
      </c>
      <c r="K242" s="16">
        <v>30</v>
      </c>
      <c r="L242" s="17">
        <f t="shared" ref="L242" si="55">J242/12</f>
        <v>30</v>
      </c>
      <c r="M242" s="17">
        <f t="shared" ref="M242" si="56">O$3-I242</f>
        <v>36</v>
      </c>
      <c r="N242" s="19">
        <f t="shared" ref="N242" si="57">M242/K242</f>
        <v>1.2</v>
      </c>
      <c r="O242" s="1">
        <f t="shared" si="32"/>
        <v>231</v>
      </c>
    </row>
    <row r="243" spans="1:15" x14ac:dyDescent="0.2">
      <c r="A243" s="409"/>
      <c r="B243" s="10" t="s">
        <v>277</v>
      </c>
      <c r="C243" s="65">
        <v>20</v>
      </c>
      <c r="D243" s="11">
        <v>0.4</v>
      </c>
      <c r="E243" s="13">
        <v>0.28499999999999998</v>
      </c>
      <c r="F243" s="11">
        <v>1</v>
      </c>
      <c r="G243" s="14" t="s">
        <v>278</v>
      </c>
      <c r="H243" s="15" t="s">
        <v>270</v>
      </c>
      <c r="I243" s="11">
        <v>1989</v>
      </c>
      <c r="J243" s="16">
        <f t="shared" si="39"/>
        <v>360</v>
      </c>
      <c r="K243" s="16">
        <v>30</v>
      </c>
      <c r="L243" s="17">
        <f t="shared" ref="L243" si="58">J243/12</f>
        <v>30</v>
      </c>
      <c r="M243" s="17">
        <f t="shared" ref="M243" si="59">O$3-I243</f>
        <v>36</v>
      </c>
      <c r="N243" s="19">
        <f t="shared" ref="N243" si="60">M243/K243</f>
        <v>1.2</v>
      </c>
      <c r="O243" s="1">
        <f t="shared" si="32"/>
        <v>232</v>
      </c>
    </row>
    <row r="244" spans="1:15" x14ac:dyDescent="0.2">
      <c r="A244" s="409"/>
      <c r="B244" s="227" t="s">
        <v>279</v>
      </c>
      <c r="C244" s="228">
        <v>10</v>
      </c>
      <c r="D244" s="228">
        <v>0.4</v>
      </c>
      <c r="E244" s="228">
        <v>0.12</v>
      </c>
      <c r="F244" s="228">
        <v>1</v>
      </c>
      <c r="G244" s="230" t="s">
        <v>280</v>
      </c>
      <c r="H244" s="231" t="s">
        <v>34</v>
      </c>
      <c r="I244" s="228">
        <v>2015</v>
      </c>
      <c r="J244" s="232">
        <f t="shared" si="39"/>
        <v>360</v>
      </c>
      <c r="K244" s="232">
        <v>30</v>
      </c>
      <c r="L244" s="18">
        <f t="shared" si="20"/>
        <v>30</v>
      </c>
      <c r="M244" s="18">
        <f t="shared" si="21"/>
        <v>10</v>
      </c>
      <c r="N244" s="19">
        <f t="shared" si="22"/>
        <v>0.33333333333333331</v>
      </c>
      <c r="O244" s="1">
        <f t="shared" si="32"/>
        <v>233</v>
      </c>
    </row>
    <row r="245" spans="1:15" x14ac:dyDescent="0.2">
      <c r="A245" s="410"/>
      <c r="B245" s="227" t="s">
        <v>279</v>
      </c>
      <c r="C245" s="228">
        <v>15</v>
      </c>
      <c r="D245" s="228">
        <v>0.4</v>
      </c>
      <c r="E245" s="228">
        <v>0.12</v>
      </c>
      <c r="F245" s="228">
        <v>1</v>
      </c>
      <c r="G245" s="230" t="s">
        <v>280</v>
      </c>
      <c r="H245" s="231" t="s">
        <v>34</v>
      </c>
      <c r="I245" s="228">
        <v>2015</v>
      </c>
      <c r="J245" s="232">
        <f t="shared" si="39"/>
        <v>360</v>
      </c>
      <c r="K245" s="232">
        <v>30</v>
      </c>
      <c r="L245" s="18">
        <f t="shared" ref="L245:L246" si="61">J245/12</f>
        <v>30</v>
      </c>
      <c r="M245" s="18">
        <f t="shared" ref="M245:M246" si="62">O$3-I245</f>
        <v>10</v>
      </c>
      <c r="N245" s="19">
        <f t="shared" ref="N245:N246" si="63">M245/K245</f>
        <v>0.33333333333333331</v>
      </c>
      <c r="O245" s="1">
        <f t="shared" si="32"/>
        <v>234</v>
      </c>
    </row>
    <row r="246" spans="1:15" x14ac:dyDescent="0.2">
      <c r="A246" s="410"/>
      <c r="B246" s="10" t="s">
        <v>281</v>
      </c>
      <c r="C246" s="13">
        <v>9</v>
      </c>
      <c r="D246" s="11">
        <v>0.4</v>
      </c>
      <c r="E246" s="13">
        <f>0.11/2</f>
        <v>5.5E-2</v>
      </c>
      <c r="F246" s="11">
        <v>1</v>
      </c>
      <c r="G246" s="14" t="s">
        <v>282</v>
      </c>
      <c r="H246" s="15" t="s">
        <v>34</v>
      </c>
      <c r="I246" s="11">
        <v>1985</v>
      </c>
      <c r="J246" s="16">
        <f t="shared" si="39"/>
        <v>360</v>
      </c>
      <c r="K246" s="16">
        <v>30</v>
      </c>
      <c r="L246" s="17">
        <f t="shared" si="61"/>
        <v>30</v>
      </c>
      <c r="M246" s="17">
        <f t="shared" si="62"/>
        <v>40</v>
      </c>
      <c r="N246" s="19">
        <f t="shared" si="63"/>
        <v>1.3333333333333333</v>
      </c>
      <c r="O246" s="1">
        <f t="shared" si="32"/>
        <v>235</v>
      </c>
    </row>
    <row r="247" spans="1:15" ht="13.5" thickBot="1" x14ac:dyDescent="0.25">
      <c r="A247" s="407"/>
      <c r="B247" s="25" t="s">
        <v>281</v>
      </c>
      <c r="C247" s="28">
        <v>22</v>
      </c>
      <c r="D247" s="26">
        <v>0.4</v>
      </c>
      <c r="E247" s="28">
        <v>5.5E-2</v>
      </c>
      <c r="F247" s="26">
        <v>1</v>
      </c>
      <c r="G247" s="29" t="s">
        <v>282</v>
      </c>
      <c r="H247" s="47" t="s">
        <v>34</v>
      </c>
      <c r="I247" s="26">
        <v>1985</v>
      </c>
      <c r="J247" s="31">
        <f t="shared" si="39"/>
        <v>360</v>
      </c>
      <c r="K247" s="31">
        <v>30</v>
      </c>
      <c r="L247" s="32">
        <f t="shared" si="20"/>
        <v>30</v>
      </c>
      <c r="M247" s="32">
        <f t="shared" si="21"/>
        <v>40</v>
      </c>
      <c r="N247" s="33">
        <f t="shared" si="22"/>
        <v>1.3333333333333333</v>
      </c>
      <c r="O247" s="1">
        <f t="shared" si="32"/>
        <v>236</v>
      </c>
    </row>
    <row r="248" spans="1:15" ht="21.75" customHeight="1" x14ac:dyDescent="0.2">
      <c r="A248" s="406">
        <v>24</v>
      </c>
      <c r="B248" s="288" t="s">
        <v>283</v>
      </c>
      <c r="C248" s="278">
        <v>3</v>
      </c>
      <c r="D248" s="278">
        <v>0.4</v>
      </c>
      <c r="E248" s="278">
        <v>7.0000000000000007E-2</v>
      </c>
      <c r="F248" s="278">
        <v>1</v>
      </c>
      <c r="G248" s="279" t="s">
        <v>284</v>
      </c>
      <c r="H248" s="280" t="s">
        <v>34</v>
      </c>
      <c r="I248" s="278">
        <v>2014</v>
      </c>
      <c r="J248" s="281">
        <f t="shared" si="39"/>
        <v>360</v>
      </c>
      <c r="K248" s="281">
        <v>30</v>
      </c>
      <c r="L248" s="282">
        <f t="shared" si="20"/>
        <v>30</v>
      </c>
      <c r="M248" s="282">
        <f t="shared" si="21"/>
        <v>11</v>
      </c>
      <c r="N248" s="43">
        <f t="shared" si="22"/>
        <v>0.36666666666666664</v>
      </c>
      <c r="O248" s="1">
        <f t="shared" si="32"/>
        <v>237</v>
      </c>
    </row>
    <row r="249" spans="1:15" ht="21.75" customHeight="1" x14ac:dyDescent="0.2">
      <c r="A249" s="408"/>
      <c r="B249" s="262" t="s">
        <v>283</v>
      </c>
      <c r="C249" s="263">
        <v>18</v>
      </c>
      <c r="D249" s="263">
        <v>0.4</v>
      </c>
      <c r="E249" s="263">
        <v>7.0000000000000007E-2</v>
      </c>
      <c r="F249" s="263">
        <v>1</v>
      </c>
      <c r="G249" s="265" t="s">
        <v>284</v>
      </c>
      <c r="H249" s="275" t="s">
        <v>34</v>
      </c>
      <c r="I249" s="263">
        <v>2014</v>
      </c>
      <c r="J249" s="266">
        <f t="shared" si="39"/>
        <v>360</v>
      </c>
      <c r="K249" s="266">
        <v>30</v>
      </c>
      <c r="L249" s="267">
        <f t="shared" ref="L249" si="64">J249/12</f>
        <v>30</v>
      </c>
      <c r="M249" s="267">
        <f t="shared" ref="M249" si="65">O$3-I249</f>
        <v>11</v>
      </c>
      <c r="N249" s="19">
        <f t="shared" ref="N249" si="66">M249/K249</f>
        <v>0.36666666666666664</v>
      </c>
      <c r="O249" s="1">
        <f t="shared" si="32"/>
        <v>238</v>
      </c>
    </row>
    <row r="250" spans="1:15" ht="21.75" customHeight="1" x14ac:dyDescent="0.2">
      <c r="A250" s="409"/>
      <c r="B250" s="10" t="s">
        <v>285</v>
      </c>
      <c r="C250" s="13">
        <v>1</v>
      </c>
      <c r="D250" s="11">
        <v>0.4</v>
      </c>
      <c r="E250" s="11">
        <v>0.1</v>
      </c>
      <c r="F250" s="11">
        <v>1</v>
      </c>
      <c r="G250" s="14" t="s">
        <v>286</v>
      </c>
      <c r="H250" s="15" t="s">
        <v>34</v>
      </c>
      <c r="I250" s="11">
        <v>1984</v>
      </c>
      <c r="J250" s="16">
        <f t="shared" si="39"/>
        <v>360</v>
      </c>
      <c r="K250" s="16">
        <v>30</v>
      </c>
      <c r="L250" s="17">
        <f t="shared" si="20"/>
        <v>30</v>
      </c>
      <c r="M250" s="17">
        <f t="shared" si="21"/>
        <v>41</v>
      </c>
      <c r="N250" s="19">
        <f t="shared" si="22"/>
        <v>1.3666666666666667</v>
      </c>
      <c r="O250" s="1">
        <f t="shared" si="32"/>
        <v>239</v>
      </c>
    </row>
    <row r="251" spans="1:15" ht="21.75" customHeight="1" x14ac:dyDescent="0.2">
      <c r="A251" s="409"/>
      <c r="B251" s="10" t="s">
        <v>285</v>
      </c>
      <c r="C251" s="13">
        <v>15</v>
      </c>
      <c r="D251" s="11">
        <v>0.4</v>
      </c>
      <c r="E251" s="11">
        <v>0.1</v>
      </c>
      <c r="F251" s="11">
        <v>1</v>
      </c>
      <c r="G251" s="14" t="s">
        <v>286</v>
      </c>
      <c r="H251" s="15" t="s">
        <v>34</v>
      </c>
      <c r="I251" s="11">
        <v>1984</v>
      </c>
      <c r="J251" s="16">
        <f t="shared" si="39"/>
        <v>360</v>
      </c>
      <c r="K251" s="16">
        <v>30</v>
      </c>
      <c r="L251" s="17">
        <f t="shared" ref="L251" si="67">J251/12</f>
        <v>30</v>
      </c>
      <c r="M251" s="17">
        <f t="shared" ref="M251" si="68">O$3-I251</f>
        <v>41</v>
      </c>
      <c r="N251" s="19">
        <f t="shared" ref="N251" si="69">M251/K251</f>
        <v>1.3666666666666667</v>
      </c>
      <c r="O251" s="1">
        <f t="shared" si="32"/>
        <v>240</v>
      </c>
    </row>
    <row r="252" spans="1:15" ht="26.25" customHeight="1" x14ac:dyDescent="0.2">
      <c r="A252" s="409"/>
      <c r="B252" s="10" t="s">
        <v>287</v>
      </c>
      <c r="C252" s="65">
        <v>6</v>
      </c>
      <c r="D252" s="11">
        <v>0.4</v>
      </c>
      <c r="E252" s="11">
        <v>0.15</v>
      </c>
      <c r="F252" s="11">
        <v>1</v>
      </c>
      <c r="G252" s="14" t="s">
        <v>288</v>
      </c>
      <c r="H252" s="15" t="s">
        <v>34</v>
      </c>
      <c r="I252" s="11">
        <v>1984</v>
      </c>
      <c r="J252" s="16">
        <f t="shared" si="39"/>
        <v>360</v>
      </c>
      <c r="K252" s="16">
        <v>30</v>
      </c>
      <c r="L252" s="17">
        <f t="shared" si="20"/>
        <v>30</v>
      </c>
      <c r="M252" s="17">
        <f t="shared" si="21"/>
        <v>41</v>
      </c>
      <c r="N252" s="19">
        <f t="shared" si="22"/>
        <v>1.3666666666666667</v>
      </c>
      <c r="O252" s="1">
        <f t="shared" si="32"/>
        <v>241</v>
      </c>
    </row>
    <row r="253" spans="1:15" ht="26.25" customHeight="1" x14ac:dyDescent="0.2">
      <c r="A253" s="410"/>
      <c r="B253" s="10" t="s">
        <v>287</v>
      </c>
      <c r="C253" s="65">
        <v>20</v>
      </c>
      <c r="D253" s="11">
        <v>0.4</v>
      </c>
      <c r="E253" s="11">
        <v>0.15</v>
      </c>
      <c r="F253" s="11">
        <v>1</v>
      </c>
      <c r="G253" s="14" t="s">
        <v>288</v>
      </c>
      <c r="H253" s="15" t="s">
        <v>34</v>
      </c>
      <c r="I253" s="11">
        <v>1984</v>
      </c>
      <c r="J253" s="16">
        <f t="shared" si="39"/>
        <v>360</v>
      </c>
      <c r="K253" s="16">
        <v>30</v>
      </c>
      <c r="L253" s="17">
        <f t="shared" ref="L253:L254" si="70">J253/12</f>
        <v>30</v>
      </c>
      <c r="M253" s="17">
        <f t="shared" ref="M253:M254" si="71">O$3-I253</f>
        <v>41</v>
      </c>
      <c r="N253" s="19">
        <f t="shared" ref="N253:N254" si="72">M253/K253</f>
        <v>1.3666666666666667</v>
      </c>
      <c r="O253" s="1">
        <f t="shared" si="32"/>
        <v>242</v>
      </c>
    </row>
    <row r="254" spans="1:15" ht="26.25" customHeight="1" x14ac:dyDescent="0.2">
      <c r="A254" s="410"/>
      <c r="B254" s="58" t="s">
        <v>289</v>
      </c>
      <c r="C254" s="13">
        <v>4</v>
      </c>
      <c r="D254" s="11">
        <v>0.4</v>
      </c>
      <c r="E254" s="11">
        <f>0.34/2</f>
        <v>0.17</v>
      </c>
      <c r="F254" s="11">
        <v>1</v>
      </c>
      <c r="G254" s="14" t="s">
        <v>290</v>
      </c>
      <c r="H254" s="15" t="s">
        <v>52</v>
      </c>
      <c r="I254" s="11">
        <v>1986</v>
      </c>
      <c r="J254" s="16">
        <f t="shared" si="39"/>
        <v>360</v>
      </c>
      <c r="K254" s="16">
        <v>30</v>
      </c>
      <c r="L254" s="17">
        <f t="shared" si="70"/>
        <v>30</v>
      </c>
      <c r="M254" s="17">
        <f t="shared" si="71"/>
        <v>39</v>
      </c>
      <c r="N254" s="19">
        <f t="shared" si="72"/>
        <v>1.3</v>
      </c>
      <c r="O254" s="1">
        <f t="shared" si="32"/>
        <v>243</v>
      </c>
    </row>
    <row r="255" spans="1:15" ht="30.75" customHeight="1" thickBot="1" x14ac:dyDescent="0.25">
      <c r="A255" s="407"/>
      <c r="B255" s="67" t="s">
        <v>289</v>
      </c>
      <c r="C255" s="28">
        <v>22</v>
      </c>
      <c r="D255" s="26">
        <v>0.4</v>
      </c>
      <c r="E255" s="26">
        <v>0.17</v>
      </c>
      <c r="F255" s="26">
        <v>1</v>
      </c>
      <c r="G255" s="29" t="s">
        <v>290</v>
      </c>
      <c r="H255" s="47" t="s">
        <v>52</v>
      </c>
      <c r="I255" s="26">
        <v>1986</v>
      </c>
      <c r="J255" s="31">
        <f t="shared" si="39"/>
        <v>360</v>
      </c>
      <c r="K255" s="31">
        <v>30</v>
      </c>
      <c r="L255" s="32">
        <f t="shared" si="20"/>
        <v>30</v>
      </c>
      <c r="M255" s="32">
        <f t="shared" si="21"/>
        <v>39</v>
      </c>
      <c r="N255" s="33">
        <f t="shared" si="22"/>
        <v>1.3</v>
      </c>
      <c r="O255" s="1">
        <f t="shared" si="32"/>
        <v>244</v>
      </c>
    </row>
    <row r="256" spans="1:15" ht="40.5" customHeight="1" x14ac:dyDescent="0.2">
      <c r="A256" s="406">
        <v>25</v>
      </c>
      <c r="B256" s="244" t="s">
        <v>291</v>
      </c>
      <c r="C256" s="245">
        <v>7</v>
      </c>
      <c r="D256" s="246">
        <v>0.4</v>
      </c>
      <c r="E256" s="245">
        <f>0.36/2</f>
        <v>0.18</v>
      </c>
      <c r="F256" s="245">
        <v>1</v>
      </c>
      <c r="G256" s="248" t="s">
        <v>140</v>
      </c>
      <c r="H256" s="249" t="s">
        <v>34</v>
      </c>
      <c r="I256" s="245">
        <v>2018</v>
      </c>
      <c r="J256" s="250">
        <f t="shared" si="39"/>
        <v>360</v>
      </c>
      <c r="K256" s="250">
        <v>30</v>
      </c>
      <c r="L256" s="42">
        <f t="shared" si="20"/>
        <v>30</v>
      </c>
      <c r="M256" s="42">
        <f t="shared" si="21"/>
        <v>7</v>
      </c>
      <c r="N256" s="43">
        <f t="shared" si="22"/>
        <v>0.23333333333333334</v>
      </c>
      <c r="O256" s="1">
        <f t="shared" si="32"/>
        <v>245</v>
      </c>
    </row>
    <row r="257" spans="1:15" ht="40.5" customHeight="1" x14ac:dyDescent="0.2">
      <c r="A257" s="403"/>
      <c r="B257" s="227" t="s">
        <v>291</v>
      </c>
      <c r="C257" s="228">
        <v>21</v>
      </c>
      <c r="D257" s="229">
        <v>0.4</v>
      </c>
      <c r="E257" s="228">
        <v>0.18</v>
      </c>
      <c r="F257" s="228">
        <v>1</v>
      </c>
      <c r="G257" s="230" t="s">
        <v>140</v>
      </c>
      <c r="H257" s="231" t="s">
        <v>34</v>
      </c>
      <c r="I257" s="228">
        <v>2018</v>
      </c>
      <c r="J257" s="232">
        <f t="shared" si="39"/>
        <v>360</v>
      </c>
      <c r="K257" s="232">
        <v>30</v>
      </c>
      <c r="L257" s="18">
        <f>J257/12</f>
        <v>30</v>
      </c>
      <c r="M257" s="18">
        <f>O$3-I257</f>
        <v>7</v>
      </c>
      <c r="N257" s="19">
        <f>M257/K257</f>
        <v>0.23333333333333334</v>
      </c>
      <c r="O257" s="1">
        <f t="shared" si="32"/>
        <v>246</v>
      </c>
    </row>
    <row r="258" spans="1:15" ht="40.5" customHeight="1" x14ac:dyDescent="0.2">
      <c r="A258" s="403"/>
      <c r="B258" s="227" t="s">
        <v>292</v>
      </c>
      <c r="C258" s="228">
        <v>9</v>
      </c>
      <c r="D258" s="229">
        <v>0.4</v>
      </c>
      <c r="E258" s="228">
        <f>0.25/2</f>
        <v>0.125</v>
      </c>
      <c r="F258" s="228">
        <v>1</v>
      </c>
      <c r="G258" s="230" t="s">
        <v>293</v>
      </c>
      <c r="H258" s="231" t="s">
        <v>34</v>
      </c>
      <c r="I258" s="228">
        <v>2018</v>
      </c>
      <c r="J258" s="232">
        <f t="shared" si="39"/>
        <v>360</v>
      </c>
      <c r="K258" s="232">
        <v>30</v>
      </c>
      <c r="L258" s="18">
        <f>J258/12</f>
        <v>30</v>
      </c>
      <c r="M258" s="18">
        <f>O$3-I258</f>
        <v>7</v>
      </c>
      <c r="N258" s="19">
        <f>M258/K258</f>
        <v>0.23333333333333334</v>
      </c>
      <c r="O258" s="1">
        <f t="shared" si="32"/>
        <v>247</v>
      </c>
    </row>
    <row r="259" spans="1:15" ht="27.75" customHeight="1" thickBot="1" x14ac:dyDescent="0.25">
      <c r="A259" s="407"/>
      <c r="B259" s="251" t="s">
        <v>292</v>
      </c>
      <c r="C259" s="242">
        <v>23</v>
      </c>
      <c r="D259" s="238">
        <v>0.4</v>
      </c>
      <c r="E259" s="242">
        <v>0.125</v>
      </c>
      <c r="F259" s="242">
        <v>1</v>
      </c>
      <c r="G259" s="240" t="s">
        <v>293</v>
      </c>
      <c r="H259" s="241" t="s">
        <v>34</v>
      </c>
      <c r="I259" s="242">
        <v>2018</v>
      </c>
      <c r="J259" s="243">
        <f t="shared" si="39"/>
        <v>360</v>
      </c>
      <c r="K259" s="243">
        <v>30</v>
      </c>
      <c r="L259" s="48">
        <f t="shared" si="20"/>
        <v>30</v>
      </c>
      <c r="M259" s="48">
        <f t="shared" si="21"/>
        <v>7</v>
      </c>
      <c r="N259" s="33">
        <f t="shared" si="22"/>
        <v>0.23333333333333334</v>
      </c>
      <c r="O259" s="1">
        <f t="shared" si="32"/>
        <v>248</v>
      </c>
    </row>
    <row r="260" spans="1:15" ht="32.25" customHeight="1" x14ac:dyDescent="0.2">
      <c r="A260" s="406">
        <v>26</v>
      </c>
      <c r="B260" s="288" t="s">
        <v>294</v>
      </c>
      <c r="C260" s="277">
        <v>9</v>
      </c>
      <c r="D260" s="277">
        <v>0.4</v>
      </c>
      <c r="E260" s="277">
        <v>0.115</v>
      </c>
      <c r="F260" s="277">
        <v>1</v>
      </c>
      <c r="G260" s="279" t="s">
        <v>295</v>
      </c>
      <c r="H260" s="280" t="s">
        <v>270</v>
      </c>
      <c r="I260" s="277">
        <v>2011</v>
      </c>
      <c r="J260" s="281">
        <f t="shared" si="39"/>
        <v>360</v>
      </c>
      <c r="K260" s="281">
        <v>30</v>
      </c>
      <c r="L260" s="282">
        <f t="shared" si="20"/>
        <v>30</v>
      </c>
      <c r="M260" s="282">
        <f t="shared" si="21"/>
        <v>14</v>
      </c>
      <c r="N260" s="43">
        <f t="shared" si="22"/>
        <v>0.46666666666666667</v>
      </c>
      <c r="O260" s="1">
        <f t="shared" si="32"/>
        <v>249</v>
      </c>
    </row>
    <row r="261" spans="1:15" ht="32.25" customHeight="1" x14ac:dyDescent="0.2">
      <c r="A261" s="409"/>
      <c r="B261" s="10" t="s">
        <v>294</v>
      </c>
      <c r="C261" s="51">
        <v>21</v>
      </c>
      <c r="D261" s="12">
        <v>0.4</v>
      </c>
      <c r="E261" s="51">
        <v>0.115</v>
      </c>
      <c r="F261" s="12">
        <v>1</v>
      </c>
      <c r="G261" s="14" t="s">
        <v>296</v>
      </c>
      <c r="H261" s="15" t="s">
        <v>270</v>
      </c>
      <c r="I261" s="12">
        <v>1986</v>
      </c>
      <c r="J261" s="16">
        <f t="shared" si="39"/>
        <v>360</v>
      </c>
      <c r="K261" s="16">
        <v>30</v>
      </c>
      <c r="L261" s="17">
        <f t="shared" si="20"/>
        <v>30</v>
      </c>
      <c r="M261" s="17">
        <f t="shared" si="21"/>
        <v>39</v>
      </c>
      <c r="N261" s="19">
        <f t="shared" si="22"/>
        <v>1.3</v>
      </c>
      <c r="O261" s="1">
        <f t="shared" si="32"/>
        <v>250</v>
      </c>
    </row>
    <row r="262" spans="1:15" ht="24" customHeight="1" x14ac:dyDescent="0.2">
      <c r="A262" s="409"/>
      <c r="B262" s="10" t="s">
        <v>297</v>
      </c>
      <c r="C262" s="51">
        <v>13</v>
      </c>
      <c r="D262" s="12">
        <v>0.4</v>
      </c>
      <c r="E262" s="51">
        <v>0.05</v>
      </c>
      <c r="F262" s="12">
        <v>1</v>
      </c>
      <c r="G262" s="14" t="s">
        <v>237</v>
      </c>
      <c r="H262" s="15" t="s">
        <v>270</v>
      </c>
      <c r="I262" s="12">
        <v>1986</v>
      </c>
      <c r="J262" s="16">
        <f t="shared" si="39"/>
        <v>360</v>
      </c>
      <c r="K262" s="16">
        <v>30</v>
      </c>
      <c r="L262" s="17">
        <f t="shared" si="20"/>
        <v>30</v>
      </c>
      <c r="M262" s="17">
        <f t="shared" si="21"/>
        <v>39</v>
      </c>
      <c r="N262" s="19">
        <f t="shared" si="22"/>
        <v>1.3</v>
      </c>
      <c r="O262" s="1">
        <f t="shared" si="32"/>
        <v>251</v>
      </c>
    </row>
    <row r="263" spans="1:15" ht="24" customHeight="1" x14ac:dyDescent="0.2">
      <c r="A263" s="409"/>
      <c r="B263" s="10" t="s">
        <v>297</v>
      </c>
      <c r="C263" s="51">
        <v>27</v>
      </c>
      <c r="D263" s="12">
        <v>0.4</v>
      </c>
      <c r="E263" s="51">
        <v>0.05</v>
      </c>
      <c r="F263" s="12">
        <v>1</v>
      </c>
      <c r="G263" s="14" t="s">
        <v>237</v>
      </c>
      <c r="H263" s="15" t="s">
        <v>270</v>
      </c>
      <c r="I263" s="12">
        <v>1986</v>
      </c>
      <c r="J263" s="16">
        <f t="shared" si="39"/>
        <v>360</v>
      </c>
      <c r="K263" s="16">
        <v>30</v>
      </c>
      <c r="L263" s="17">
        <f>J263/12</f>
        <v>30</v>
      </c>
      <c r="M263" s="17">
        <f>O$3-I263</f>
        <v>39</v>
      </c>
      <c r="N263" s="19">
        <f>M263/K263</f>
        <v>1.3</v>
      </c>
      <c r="O263" s="1">
        <f t="shared" si="32"/>
        <v>252</v>
      </c>
    </row>
    <row r="264" spans="1:15" ht="24.75" customHeight="1" x14ac:dyDescent="0.2">
      <c r="A264" s="409"/>
      <c r="B264" s="10" t="s">
        <v>298</v>
      </c>
      <c r="C264" s="51">
        <v>3</v>
      </c>
      <c r="D264" s="12">
        <v>0.4</v>
      </c>
      <c r="E264" s="51">
        <f>0.25/2</f>
        <v>0.125</v>
      </c>
      <c r="F264" s="12">
        <v>1</v>
      </c>
      <c r="G264" s="14" t="s">
        <v>177</v>
      </c>
      <c r="H264" s="15" t="s">
        <v>270</v>
      </c>
      <c r="I264" s="12">
        <v>1989</v>
      </c>
      <c r="J264" s="16">
        <f t="shared" si="39"/>
        <v>360</v>
      </c>
      <c r="K264" s="16">
        <v>30</v>
      </c>
      <c r="L264" s="17">
        <f t="shared" si="20"/>
        <v>30</v>
      </c>
      <c r="M264" s="17">
        <f t="shared" si="21"/>
        <v>36</v>
      </c>
      <c r="N264" s="19">
        <f t="shared" si="22"/>
        <v>1.2</v>
      </c>
      <c r="O264" s="1">
        <f t="shared" si="32"/>
        <v>253</v>
      </c>
    </row>
    <row r="265" spans="1:15" ht="24.75" customHeight="1" x14ac:dyDescent="0.2">
      <c r="A265" s="409"/>
      <c r="B265" s="10" t="s">
        <v>298</v>
      </c>
      <c r="C265" s="51">
        <v>25</v>
      </c>
      <c r="D265" s="12">
        <v>0.4</v>
      </c>
      <c r="E265" s="51">
        <v>0.125</v>
      </c>
      <c r="F265" s="12">
        <v>1</v>
      </c>
      <c r="G265" s="14" t="s">
        <v>177</v>
      </c>
      <c r="H265" s="15" t="s">
        <v>270</v>
      </c>
      <c r="I265" s="12">
        <v>1989</v>
      </c>
      <c r="J265" s="16">
        <f t="shared" si="39"/>
        <v>360</v>
      </c>
      <c r="K265" s="16">
        <v>30</v>
      </c>
      <c r="L265" s="17">
        <f>J265/12</f>
        <v>30</v>
      </c>
      <c r="M265" s="17">
        <f>O$3-I265</f>
        <v>36</v>
      </c>
      <c r="N265" s="19">
        <f>M265/K265</f>
        <v>1.2</v>
      </c>
      <c r="O265" s="1">
        <f t="shared" si="32"/>
        <v>254</v>
      </c>
    </row>
    <row r="266" spans="1:15" ht="30.75" customHeight="1" x14ac:dyDescent="0.2">
      <c r="A266" s="409"/>
      <c r="B266" s="10" t="s">
        <v>299</v>
      </c>
      <c r="C266" s="13">
        <v>11</v>
      </c>
      <c r="D266" s="11">
        <v>0.4</v>
      </c>
      <c r="E266" s="13">
        <v>0.2</v>
      </c>
      <c r="F266" s="11">
        <v>1</v>
      </c>
      <c r="G266" s="22" t="s">
        <v>205</v>
      </c>
      <c r="H266" s="15" t="s">
        <v>300</v>
      </c>
      <c r="I266" s="11">
        <v>1986</v>
      </c>
      <c r="J266" s="16">
        <f t="shared" si="39"/>
        <v>360</v>
      </c>
      <c r="K266" s="16">
        <v>30</v>
      </c>
      <c r="L266" s="17">
        <f t="shared" si="20"/>
        <v>30</v>
      </c>
      <c r="M266" s="17">
        <f t="shared" si="21"/>
        <v>39</v>
      </c>
      <c r="N266" s="19">
        <f t="shared" si="22"/>
        <v>1.3</v>
      </c>
      <c r="O266" s="1">
        <f t="shared" si="32"/>
        <v>255</v>
      </c>
    </row>
    <row r="267" spans="1:15" ht="30.75" customHeight="1" x14ac:dyDescent="0.2">
      <c r="A267" s="410"/>
      <c r="B267" s="10" t="s">
        <v>299</v>
      </c>
      <c r="C267" s="13">
        <v>23</v>
      </c>
      <c r="D267" s="11">
        <v>0.4</v>
      </c>
      <c r="E267" s="13">
        <v>0.2</v>
      </c>
      <c r="F267" s="11">
        <v>1</v>
      </c>
      <c r="G267" s="22" t="s">
        <v>205</v>
      </c>
      <c r="H267" s="15" t="s">
        <v>300</v>
      </c>
      <c r="I267" s="11">
        <v>1986</v>
      </c>
      <c r="J267" s="16">
        <f t="shared" si="39"/>
        <v>360</v>
      </c>
      <c r="K267" s="16">
        <v>30</v>
      </c>
      <c r="L267" s="17">
        <f>J267/12</f>
        <v>30</v>
      </c>
      <c r="M267" s="17">
        <f>O$3-I267</f>
        <v>39</v>
      </c>
      <c r="N267" s="19">
        <f>M267/K267</f>
        <v>1.3</v>
      </c>
      <c r="O267" s="1">
        <f t="shared" si="32"/>
        <v>256</v>
      </c>
    </row>
    <row r="268" spans="1:15" ht="30.75" customHeight="1" x14ac:dyDescent="0.2">
      <c r="A268" s="410"/>
      <c r="B268" s="10" t="s">
        <v>301</v>
      </c>
      <c r="C268" s="13">
        <v>8</v>
      </c>
      <c r="D268" s="344">
        <v>0.4</v>
      </c>
      <c r="E268" s="13">
        <f>0.29/2</f>
        <v>0.14499999999999999</v>
      </c>
      <c r="F268" s="363">
        <v>1</v>
      </c>
      <c r="G268" s="22" t="s">
        <v>115</v>
      </c>
      <c r="H268" s="15" t="s">
        <v>300</v>
      </c>
      <c r="I268" s="344">
        <v>1986</v>
      </c>
      <c r="J268" s="16">
        <f t="shared" si="39"/>
        <v>360</v>
      </c>
      <c r="K268" s="16">
        <v>30</v>
      </c>
      <c r="L268" s="17">
        <f>J268/12</f>
        <v>30</v>
      </c>
      <c r="M268" s="17">
        <f>O$3-I268</f>
        <v>39</v>
      </c>
      <c r="N268" s="19">
        <f>M268/K268</f>
        <v>1.3</v>
      </c>
      <c r="O268" s="1">
        <f t="shared" si="32"/>
        <v>257</v>
      </c>
    </row>
    <row r="269" spans="1:15" ht="30.75" customHeight="1" x14ac:dyDescent="0.2">
      <c r="A269" s="410"/>
      <c r="B269" s="10" t="s">
        <v>301</v>
      </c>
      <c r="C269" s="13">
        <v>22</v>
      </c>
      <c r="D269" s="344">
        <v>0.4</v>
      </c>
      <c r="E269" s="13">
        <v>0.14499999999999999</v>
      </c>
      <c r="F269" s="363">
        <v>1</v>
      </c>
      <c r="G269" s="22" t="s">
        <v>115</v>
      </c>
      <c r="H269" s="15" t="s">
        <v>300</v>
      </c>
      <c r="I269" s="344">
        <v>1986</v>
      </c>
      <c r="J269" s="16">
        <f t="shared" si="39"/>
        <v>360</v>
      </c>
      <c r="K269" s="16">
        <v>30</v>
      </c>
      <c r="L269" s="17">
        <f t="shared" ref="L269:L270" si="73">J269/12</f>
        <v>30</v>
      </c>
      <c r="M269" s="17">
        <f t="shared" ref="M269:M270" si="74">O$3-I269</f>
        <v>39</v>
      </c>
      <c r="N269" s="19">
        <f t="shared" ref="N269:N270" si="75">M269/K269</f>
        <v>1.3</v>
      </c>
      <c r="O269" s="1">
        <f t="shared" si="32"/>
        <v>258</v>
      </c>
    </row>
    <row r="270" spans="1:15" ht="30.75" customHeight="1" x14ac:dyDescent="0.2">
      <c r="A270" s="410"/>
      <c r="B270" s="297" t="s">
        <v>704</v>
      </c>
      <c r="C270" s="228" t="s">
        <v>705</v>
      </c>
      <c r="D270" s="228">
        <v>0.4</v>
      </c>
      <c r="E270" s="228">
        <v>0.2</v>
      </c>
      <c r="F270" s="427">
        <v>1</v>
      </c>
      <c r="G270" s="230" t="s">
        <v>706</v>
      </c>
      <c r="H270" s="231" t="s">
        <v>723</v>
      </c>
      <c r="I270" s="228">
        <v>2025</v>
      </c>
      <c r="J270" s="232">
        <f t="shared" si="39"/>
        <v>360</v>
      </c>
      <c r="K270" s="232">
        <v>30</v>
      </c>
      <c r="L270" s="18">
        <f t="shared" si="73"/>
        <v>30</v>
      </c>
      <c r="M270" s="18">
        <f t="shared" si="74"/>
        <v>0</v>
      </c>
      <c r="N270" s="345">
        <f t="shared" si="75"/>
        <v>0</v>
      </c>
      <c r="O270" s="1">
        <f t="shared" ref="O270:O298" si="76">O269+1</f>
        <v>259</v>
      </c>
    </row>
    <row r="271" spans="1:15" ht="28.5" customHeight="1" thickBot="1" x14ac:dyDescent="0.25">
      <c r="A271" s="407"/>
      <c r="B271" s="347" t="s">
        <v>704</v>
      </c>
      <c r="C271" s="242" t="s">
        <v>705</v>
      </c>
      <c r="D271" s="242">
        <v>0.4</v>
      </c>
      <c r="E271" s="242">
        <v>2.5999999999999999E-2</v>
      </c>
      <c r="F271" s="428"/>
      <c r="G271" s="240" t="s">
        <v>707</v>
      </c>
      <c r="H271" s="241" t="s">
        <v>723</v>
      </c>
      <c r="I271" s="242">
        <v>2025</v>
      </c>
      <c r="J271" s="243">
        <f t="shared" si="39"/>
        <v>360</v>
      </c>
      <c r="K271" s="243">
        <v>30</v>
      </c>
      <c r="L271" s="48">
        <f t="shared" si="20"/>
        <v>30</v>
      </c>
      <c r="M271" s="48">
        <f t="shared" si="21"/>
        <v>0</v>
      </c>
      <c r="N271" s="348">
        <f t="shared" si="22"/>
        <v>0</v>
      </c>
      <c r="O271" s="1">
        <f t="shared" si="76"/>
        <v>260</v>
      </c>
    </row>
    <row r="272" spans="1:15" ht="32.25" customHeight="1" x14ac:dyDescent="0.2">
      <c r="A272" s="406">
        <v>27</v>
      </c>
      <c r="B272" s="59" t="s">
        <v>302</v>
      </c>
      <c r="C272" s="68" t="s">
        <v>303</v>
      </c>
      <c r="D272" s="35">
        <v>0.4</v>
      </c>
      <c r="E272" s="69">
        <v>1.242</v>
      </c>
      <c r="F272" s="35">
        <v>7</v>
      </c>
      <c r="G272" s="70" t="s">
        <v>304</v>
      </c>
      <c r="H272" s="39" t="s">
        <v>41</v>
      </c>
      <c r="I272" s="35">
        <v>1995</v>
      </c>
      <c r="J272" s="40">
        <f t="shared" si="39"/>
        <v>360</v>
      </c>
      <c r="K272" s="40">
        <v>30</v>
      </c>
      <c r="L272" s="41">
        <f t="shared" si="20"/>
        <v>30</v>
      </c>
      <c r="M272" s="41">
        <f t="shared" si="21"/>
        <v>30</v>
      </c>
      <c r="N272" s="43">
        <f t="shared" si="22"/>
        <v>1</v>
      </c>
      <c r="O272" s="1">
        <f t="shared" si="76"/>
        <v>261</v>
      </c>
    </row>
    <row r="273" spans="1:15" ht="32.25" customHeight="1" x14ac:dyDescent="0.2">
      <c r="A273" s="403"/>
      <c r="B273" s="311" t="s">
        <v>305</v>
      </c>
      <c r="C273" s="13">
        <v>4</v>
      </c>
      <c r="D273" s="21">
        <v>0.4</v>
      </c>
      <c r="E273" s="55">
        <f>0.26/2</f>
        <v>0.13</v>
      </c>
      <c r="F273" s="21">
        <v>1</v>
      </c>
      <c r="G273" s="312" t="s">
        <v>304</v>
      </c>
      <c r="H273" s="15" t="s">
        <v>41</v>
      </c>
      <c r="I273" s="21">
        <v>1995</v>
      </c>
      <c r="J273" s="16">
        <f t="shared" si="39"/>
        <v>360</v>
      </c>
      <c r="K273" s="16">
        <v>30</v>
      </c>
      <c r="L273" s="17">
        <f t="shared" ref="L273" si="77">J273/12</f>
        <v>30</v>
      </c>
      <c r="M273" s="17">
        <f t="shared" ref="M273" si="78">O$3-I273</f>
        <v>30</v>
      </c>
      <c r="N273" s="19">
        <f t="shared" ref="N273" si="79">M273/K273</f>
        <v>1</v>
      </c>
      <c r="O273" s="1">
        <f t="shared" si="76"/>
        <v>262</v>
      </c>
    </row>
    <row r="274" spans="1:15" ht="32.25" customHeight="1" thickBot="1" x14ac:dyDescent="0.25">
      <c r="A274" s="407"/>
      <c r="B274" s="71" t="s">
        <v>305</v>
      </c>
      <c r="C274" s="28">
        <v>9</v>
      </c>
      <c r="D274" s="26">
        <v>0.4</v>
      </c>
      <c r="E274" s="72">
        <f>0.13</f>
        <v>0.13</v>
      </c>
      <c r="F274" s="26">
        <v>1</v>
      </c>
      <c r="G274" s="73" t="s">
        <v>304</v>
      </c>
      <c r="H274" s="47" t="s">
        <v>41</v>
      </c>
      <c r="I274" s="26">
        <v>1995</v>
      </c>
      <c r="J274" s="31">
        <f t="shared" si="39"/>
        <v>360</v>
      </c>
      <c r="K274" s="31">
        <v>30</v>
      </c>
      <c r="L274" s="32">
        <f t="shared" si="20"/>
        <v>30</v>
      </c>
      <c r="M274" s="32">
        <f t="shared" si="21"/>
        <v>30</v>
      </c>
      <c r="N274" s="33">
        <f t="shared" si="22"/>
        <v>1</v>
      </c>
      <c r="O274" s="1">
        <f t="shared" si="76"/>
        <v>263</v>
      </c>
    </row>
    <row r="275" spans="1:15" ht="24" customHeight="1" x14ac:dyDescent="0.2">
      <c r="A275" s="406">
        <v>28</v>
      </c>
      <c r="B275" s="276" t="s">
        <v>306</v>
      </c>
      <c r="C275" s="278">
        <v>7.8</v>
      </c>
      <c r="D275" s="278">
        <v>6</v>
      </c>
      <c r="E275" s="278">
        <v>0.218</v>
      </c>
      <c r="F275" s="294">
        <v>1</v>
      </c>
      <c r="G275" s="279" t="s">
        <v>307</v>
      </c>
      <c r="H275" s="280" t="s">
        <v>41</v>
      </c>
      <c r="I275" s="278">
        <v>2006</v>
      </c>
      <c r="J275" s="281">
        <f t="shared" si="39"/>
        <v>360</v>
      </c>
      <c r="K275" s="281">
        <v>30</v>
      </c>
      <c r="L275" s="282">
        <f t="shared" si="20"/>
        <v>30</v>
      </c>
      <c r="M275" s="282">
        <f t="shared" si="21"/>
        <v>19</v>
      </c>
      <c r="N275" s="43">
        <f t="shared" si="22"/>
        <v>0.6333333333333333</v>
      </c>
      <c r="O275" s="1">
        <f t="shared" si="76"/>
        <v>264</v>
      </c>
    </row>
    <row r="276" spans="1:15" ht="24" customHeight="1" x14ac:dyDescent="0.2">
      <c r="A276" s="403"/>
      <c r="B276" s="283" t="s">
        <v>306</v>
      </c>
      <c r="C276" s="263">
        <v>7.8</v>
      </c>
      <c r="D276" s="263">
        <v>6</v>
      </c>
      <c r="E276" s="263">
        <v>0.219</v>
      </c>
      <c r="F276" s="295">
        <v>1</v>
      </c>
      <c r="G276" s="265" t="s">
        <v>307</v>
      </c>
      <c r="H276" s="275" t="s">
        <v>41</v>
      </c>
      <c r="I276" s="263">
        <v>2006</v>
      </c>
      <c r="J276" s="266">
        <f t="shared" si="39"/>
        <v>360</v>
      </c>
      <c r="K276" s="266">
        <v>30</v>
      </c>
      <c r="L276" s="267">
        <f>J276/12</f>
        <v>30</v>
      </c>
      <c r="M276" s="267">
        <f>O$3-I276</f>
        <v>19</v>
      </c>
      <c r="N276" s="19">
        <f>M276/K276</f>
        <v>0.6333333333333333</v>
      </c>
      <c r="O276" s="1">
        <f t="shared" si="76"/>
        <v>265</v>
      </c>
    </row>
    <row r="277" spans="1:15" ht="24" customHeight="1" x14ac:dyDescent="0.2">
      <c r="A277" s="403"/>
      <c r="B277" s="283" t="s">
        <v>308</v>
      </c>
      <c r="C277" s="263">
        <v>4</v>
      </c>
      <c r="D277" s="263">
        <v>0.4</v>
      </c>
      <c r="E277" s="263">
        <f>0.23/2</f>
        <v>0.115</v>
      </c>
      <c r="F277" s="295">
        <v>1</v>
      </c>
      <c r="G277" s="265" t="s">
        <v>309</v>
      </c>
      <c r="H277" s="275" t="s">
        <v>41</v>
      </c>
      <c r="I277" s="263">
        <v>2006</v>
      </c>
      <c r="J277" s="266">
        <f t="shared" si="39"/>
        <v>360</v>
      </c>
      <c r="K277" s="266">
        <v>30</v>
      </c>
      <c r="L277" s="267">
        <f>J277/12</f>
        <v>30</v>
      </c>
      <c r="M277" s="267">
        <f>O$3-I277</f>
        <v>19</v>
      </c>
      <c r="N277" s="19">
        <f>M277/K277</f>
        <v>0.6333333333333333</v>
      </c>
      <c r="O277" s="1">
        <f t="shared" si="76"/>
        <v>266</v>
      </c>
    </row>
    <row r="278" spans="1:15" ht="27" customHeight="1" thickBot="1" x14ac:dyDescent="0.25">
      <c r="A278" s="407"/>
      <c r="B278" s="285" t="s">
        <v>308</v>
      </c>
      <c r="C278" s="269">
        <v>4</v>
      </c>
      <c r="D278" s="269">
        <v>0.4</v>
      </c>
      <c r="E278" s="269">
        <v>0.115</v>
      </c>
      <c r="F278" s="296">
        <v>1</v>
      </c>
      <c r="G278" s="271" t="s">
        <v>309</v>
      </c>
      <c r="H278" s="287" t="s">
        <v>41</v>
      </c>
      <c r="I278" s="269">
        <v>2006</v>
      </c>
      <c r="J278" s="272">
        <f t="shared" si="39"/>
        <v>360</v>
      </c>
      <c r="K278" s="272">
        <v>30</v>
      </c>
      <c r="L278" s="273">
        <f t="shared" si="20"/>
        <v>30</v>
      </c>
      <c r="M278" s="273">
        <f t="shared" si="21"/>
        <v>19</v>
      </c>
      <c r="N278" s="33">
        <f t="shared" si="22"/>
        <v>0.6333333333333333</v>
      </c>
      <c r="O278" s="1">
        <f t="shared" si="76"/>
        <v>267</v>
      </c>
    </row>
    <row r="279" spans="1:15" ht="27" customHeight="1" x14ac:dyDescent="0.2">
      <c r="A279" s="398">
        <v>29</v>
      </c>
      <c r="B279" s="74" t="s">
        <v>310</v>
      </c>
      <c r="C279" s="69" t="s">
        <v>311</v>
      </c>
      <c r="D279" s="37">
        <v>6</v>
      </c>
      <c r="E279" s="69">
        <f>0.07/2</f>
        <v>3.5000000000000003E-2</v>
      </c>
      <c r="F279" s="35">
        <v>1</v>
      </c>
      <c r="G279" s="50" t="s">
        <v>312</v>
      </c>
      <c r="H279" s="75" t="s">
        <v>313</v>
      </c>
      <c r="I279" s="35">
        <v>1975</v>
      </c>
      <c r="J279" s="40">
        <f t="shared" si="39"/>
        <v>360</v>
      </c>
      <c r="K279" s="40">
        <v>30</v>
      </c>
      <c r="L279" s="41">
        <f t="shared" ref="L279" si="80">J279/12</f>
        <v>30</v>
      </c>
      <c r="M279" s="41">
        <f t="shared" ref="M279" si="81">O$3-I279</f>
        <v>50</v>
      </c>
      <c r="N279" s="43">
        <f t="shared" ref="N279" si="82">M279/K279</f>
        <v>1.6666666666666667</v>
      </c>
      <c r="O279" s="1">
        <f t="shared" si="76"/>
        <v>268</v>
      </c>
    </row>
    <row r="280" spans="1:15" ht="60" customHeight="1" thickBot="1" x14ac:dyDescent="0.25">
      <c r="A280" s="399"/>
      <c r="B280" s="56" t="s">
        <v>310</v>
      </c>
      <c r="C280" s="72" t="s">
        <v>311</v>
      </c>
      <c r="D280" s="28">
        <v>6</v>
      </c>
      <c r="E280" s="72">
        <v>3.5000000000000003E-2</v>
      </c>
      <c r="F280" s="26">
        <v>1</v>
      </c>
      <c r="G280" s="30" t="s">
        <v>312</v>
      </c>
      <c r="H280" s="76" t="s">
        <v>313</v>
      </c>
      <c r="I280" s="26">
        <v>1975</v>
      </c>
      <c r="J280" s="31">
        <f t="shared" si="39"/>
        <v>360</v>
      </c>
      <c r="K280" s="31">
        <v>30</v>
      </c>
      <c r="L280" s="32">
        <f t="shared" si="20"/>
        <v>30</v>
      </c>
      <c r="M280" s="32">
        <f t="shared" si="21"/>
        <v>50</v>
      </c>
      <c r="N280" s="33">
        <f t="shared" si="22"/>
        <v>1.6666666666666667</v>
      </c>
      <c r="O280" s="1">
        <f t="shared" si="76"/>
        <v>269</v>
      </c>
    </row>
    <row r="281" spans="1:15" ht="60" customHeight="1" x14ac:dyDescent="0.2">
      <c r="A281" s="398">
        <v>30</v>
      </c>
      <c r="B281" s="85" t="s">
        <v>314</v>
      </c>
      <c r="C281" s="86" t="s">
        <v>315</v>
      </c>
      <c r="D281" s="86">
        <v>6</v>
      </c>
      <c r="E281" s="86">
        <v>0.32</v>
      </c>
      <c r="F281" s="84">
        <v>1</v>
      </c>
      <c r="G281" s="87" t="s">
        <v>316</v>
      </c>
      <c r="H281" s="88" t="s">
        <v>317</v>
      </c>
      <c r="I281" s="84">
        <v>1975</v>
      </c>
      <c r="J281" s="89">
        <f t="shared" si="39"/>
        <v>360</v>
      </c>
      <c r="K281" s="89">
        <v>30</v>
      </c>
      <c r="L281" s="90">
        <f t="shared" ref="L281" si="83">J281/12</f>
        <v>30</v>
      </c>
      <c r="M281" s="90">
        <f t="shared" ref="M281" si="84">O$3-I281</f>
        <v>50</v>
      </c>
      <c r="N281" s="20">
        <f t="shared" ref="N281" si="85">M281/K281</f>
        <v>1.6666666666666667</v>
      </c>
      <c r="O281" s="1">
        <f t="shared" si="76"/>
        <v>270</v>
      </c>
    </row>
    <row r="282" spans="1:15" ht="66.75" customHeight="1" thickBot="1" x14ac:dyDescent="0.25">
      <c r="A282" s="399"/>
      <c r="B282" s="304" t="s">
        <v>314</v>
      </c>
      <c r="C282" s="92" t="s">
        <v>315</v>
      </c>
      <c r="D282" s="92">
        <v>6</v>
      </c>
      <c r="E282" s="92">
        <v>0.32</v>
      </c>
      <c r="F282" s="91">
        <v>1</v>
      </c>
      <c r="G282" s="93" t="s">
        <v>316</v>
      </c>
      <c r="H282" s="94" t="s">
        <v>29</v>
      </c>
      <c r="I282" s="91">
        <v>1975</v>
      </c>
      <c r="J282" s="95">
        <f t="shared" si="39"/>
        <v>360</v>
      </c>
      <c r="K282" s="95">
        <v>30</v>
      </c>
      <c r="L282" s="96">
        <f t="shared" si="20"/>
        <v>30</v>
      </c>
      <c r="M282" s="96">
        <f t="shared" si="21"/>
        <v>50</v>
      </c>
      <c r="N282" s="33">
        <f t="shared" si="22"/>
        <v>1.6666666666666667</v>
      </c>
      <c r="O282" s="1">
        <f t="shared" si="76"/>
        <v>271</v>
      </c>
    </row>
    <row r="283" spans="1:15" ht="66.75" customHeight="1" x14ac:dyDescent="0.2">
      <c r="A283" s="398">
        <v>31</v>
      </c>
      <c r="B283" s="59" t="s">
        <v>318</v>
      </c>
      <c r="C283" s="37" t="s">
        <v>319</v>
      </c>
      <c r="D283" s="37">
        <v>6</v>
      </c>
      <c r="E283" s="37">
        <f>1.46/2</f>
        <v>0.73</v>
      </c>
      <c r="F283" s="35">
        <v>1</v>
      </c>
      <c r="G283" s="34" t="s">
        <v>309</v>
      </c>
      <c r="H283" s="75" t="s">
        <v>317</v>
      </c>
      <c r="I283" s="35">
        <v>1986</v>
      </c>
      <c r="J283" s="40">
        <f t="shared" si="39"/>
        <v>360</v>
      </c>
      <c r="K283" s="40">
        <v>30</v>
      </c>
      <c r="L283" s="41">
        <f t="shared" ref="L283" si="86">J283/12</f>
        <v>30</v>
      </c>
      <c r="M283" s="41">
        <f t="shared" ref="M283" si="87">O$3-I283</f>
        <v>39</v>
      </c>
      <c r="N283" s="43">
        <f t="shared" ref="N283" si="88">M283/K283</f>
        <v>1.3</v>
      </c>
      <c r="O283" s="1">
        <f t="shared" si="76"/>
        <v>272</v>
      </c>
    </row>
    <row r="284" spans="1:15" ht="42" customHeight="1" thickBot="1" x14ac:dyDescent="0.25">
      <c r="A284" s="399"/>
      <c r="B284" s="67" t="s">
        <v>318</v>
      </c>
      <c r="C284" s="28" t="s">
        <v>319</v>
      </c>
      <c r="D284" s="28">
        <v>6</v>
      </c>
      <c r="E284" s="28">
        <v>0.73</v>
      </c>
      <c r="F284" s="26">
        <v>1</v>
      </c>
      <c r="G284" s="25" t="s">
        <v>309</v>
      </c>
      <c r="H284" s="76" t="s">
        <v>317</v>
      </c>
      <c r="I284" s="26">
        <v>1986</v>
      </c>
      <c r="J284" s="31">
        <f t="shared" si="39"/>
        <v>360</v>
      </c>
      <c r="K284" s="31">
        <v>30</v>
      </c>
      <c r="L284" s="32">
        <f t="shared" si="20"/>
        <v>30</v>
      </c>
      <c r="M284" s="32">
        <f t="shared" si="21"/>
        <v>39</v>
      </c>
      <c r="N284" s="33">
        <f t="shared" si="22"/>
        <v>1.3</v>
      </c>
      <c r="O284" s="1">
        <f t="shared" si="76"/>
        <v>273</v>
      </c>
    </row>
    <row r="285" spans="1:15" ht="42" customHeight="1" x14ac:dyDescent="0.2">
      <c r="A285" s="398">
        <v>32</v>
      </c>
      <c r="B285" s="59" t="s">
        <v>320</v>
      </c>
      <c r="C285" s="37" t="s">
        <v>315</v>
      </c>
      <c r="D285" s="37">
        <v>6</v>
      </c>
      <c r="E285" s="37">
        <f>0.72/2</f>
        <v>0.36</v>
      </c>
      <c r="F285" s="35">
        <v>1</v>
      </c>
      <c r="G285" s="34" t="s">
        <v>316</v>
      </c>
      <c r="H285" s="75" t="s">
        <v>321</v>
      </c>
      <c r="I285" s="35">
        <v>1975</v>
      </c>
      <c r="J285" s="40">
        <f t="shared" si="39"/>
        <v>360</v>
      </c>
      <c r="K285" s="40">
        <v>30</v>
      </c>
      <c r="L285" s="41">
        <f t="shared" ref="L285" si="89">J285/12</f>
        <v>30</v>
      </c>
      <c r="M285" s="41">
        <f t="shared" ref="M285" si="90">O$3-I285</f>
        <v>50</v>
      </c>
      <c r="N285" s="43">
        <f t="shared" ref="N285" si="91">M285/K285</f>
        <v>1.6666666666666667</v>
      </c>
      <c r="O285" s="1">
        <f t="shared" si="76"/>
        <v>274</v>
      </c>
    </row>
    <row r="286" spans="1:15" ht="25.5" customHeight="1" thickBot="1" x14ac:dyDescent="0.25">
      <c r="A286" s="399"/>
      <c r="B286" s="67" t="s">
        <v>320</v>
      </c>
      <c r="C286" s="28" t="s">
        <v>315</v>
      </c>
      <c r="D286" s="28">
        <v>6</v>
      </c>
      <c r="E286" s="28">
        <v>0.36</v>
      </c>
      <c r="F286" s="26">
        <v>1</v>
      </c>
      <c r="G286" s="25" t="s">
        <v>316</v>
      </c>
      <c r="H286" s="76" t="s">
        <v>321</v>
      </c>
      <c r="I286" s="26">
        <v>1975</v>
      </c>
      <c r="J286" s="31">
        <f t="shared" si="39"/>
        <v>360</v>
      </c>
      <c r="K286" s="31">
        <v>30</v>
      </c>
      <c r="L286" s="32">
        <f t="shared" si="20"/>
        <v>30</v>
      </c>
      <c r="M286" s="32">
        <f t="shared" si="21"/>
        <v>50</v>
      </c>
      <c r="N286" s="33">
        <f t="shared" si="22"/>
        <v>1.6666666666666667</v>
      </c>
      <c r="O286" s="1">
        <f t="shared" si="76"/>
        <v>275</v>
      </c>
    </row>
    <row r="287" spans="1:15" ht="25.5" customHeight="1" x14ac:dyDescent="0.2">
      <c r="A287" s="398">
        <v>33</v>
      </c>
      <c r="B287" s="305" t="s">
        <v>322</v>
      </c>
      <c r="C287" s="86" t="s">
        <v>315</v>
      </c>
      <c r="D287" s="86">
        <v>6</v>
      </c>
      <c r="E287" s="86">
        <v>0.44</v>
      </c>
      <c r="F287" s="86">
        <v>1</v>
      </c>
      <c r="G287" s="87" t="s">
        <v>316</v>
      </c>
      <c r="H287" s="88" t="s">
        <v>323</v>
      </c>
      <c r="I287" s="84">
        <v>1990</v>
      </c>
      <c r="J287" s="89">
        <f t="shared" si="39"/>
        <v>360</v>
      </c>
      <c r="K287" s="89">
        <v>30</v>
      </c>
      <c r="L287" s="90">
        <f t="shared" ref="L287" si="92">J287/12</f>
        <v>30</v>
      </c>
      <c r="M287" s="90">
        <f t="shared" ref="M287" si="93">O$3-I287</f>
        <v>35</v>
      </c>
      <c r="N287" s="20">
        <f t="shared" ref="N287" si="94">M287/K287</f>
        <v>1.1666666666666667</v>
      </c>
      <c r="O287" s="1">
        <f t="shared" si="76"/>
        <v>276</v>
      </c>
    </row>
    <row r="288" spans="1:15" ht="36" customHeight="1" thickBot="1" x14ac:dyDescent="0.25">
      <c r="A288" s="399"/>
      <c r="B288" s="63" t="s">
        <v>322</v>
      </c>
      <c r="C288" s="28" t="s">
        <v>315</v>
      </c>
      <c r="D288" s="28">
        <v>6</v>
      </c>
      <c r="E288" s="28">
        <v>0.44</v>
      </c>
      <c r="F288" s="28">
        <v>1</v>
      </c>
      <c r="G288" s="25" t="s">
        <v>316</v>
      </c>
      <c r="H288" s="76" t="s">
        <v>323</v>
      </c>
      <c r="I288" s="26">
        <v>1990</v>
      </c>
      <c r="J288" s="31">
        <f t="shared" si="39"/>
        <v>360</v>
      </c>
      <c r="K288" s="31">
        <v>30</v>
      </c>
      <c r="L288" s="32">
        <f t="shared" si="20"/>
        <v>30</v>
      </c>
      <c r="M288" s="32">
        <f t="shared" si="21"/>
        <v>35</v>
      </c>
      <c r="N288" s="33">
        <f t="shared" si="22"/>
        <v>1.1666666666666667</v>
      </c>
      <c r="O288" s="1">
        <f t="shared" si="76"/>
        <v>277</v>
      </c>
    </row>
    <row r="289" spans="1:15" ht="36" customHeight="1" thickBot="1" x14ac:dyDescent="0.25">
      <c r="A289" s="398">
        <v>34</v>
      </c>
      <c r="B289" s="276" t="s">
        <v>324</v>
      </c>
      <c r="C289" s="278" t="s">
        <v>325</v>
      </c>
      <c r="D289" s="278">
        <v>6</v>
      </c>
      <c r="E289" s="278">
        <v>1</v>
      </c>
      <c r="F289" s="278">
        <v>1</v>
      </c>
      <c r="G289" s="288" t="s">
        <v>316</v>
      </c>
      <c r="H289" s="280" t="s">
        <v>323</v>
      </c>
      <c r="I289" s="309">
        <v>2014</v>
      </c>
      <c r="J289" s="281">
        <f t="shared" si="39"/>
        <v>360</v>
      </c>
      <c r="K289" s="281">
        <v>30</v>
      </c>
      <c r="L289" s="282">
        <f t="shared" ref="L289" si="95">J289/12</f>
        <v>30</v>
      </c>
      <c r="M289" s="282">
        <f t="shared" ref="M289" si="96">O$3-I289</f>
        <v>11</v>
      </c>
      <c r="N289" s="43">
        <f t="shared" ref="N289" si="97">M289/K289</f>
        <v>0.36666666666666664</v>
      </c>
      <c r="O289" s="1">
        <f t="shared" si="76"/>
        <v>278</v>
      </c>
    </row>
    <row r="290" spans="1:15" ht="36" customHeight="1" thickBot="1" x14ac:dyDescent="0.25">
      <c r="A290" s="403"/>
      <c r="B290" s="276" t="s">
        <v>324</v>
      </c>
      <c r="C290" s="278" t="s">
        <v>325</v>
      </c>
      <c r="D290" s="278">
        <v>6</v>
      </c>
      <c r="E290" s="278">
        <v>1</v>
      </c>
      <c r="F290" s="278">
        <v>1</v>
      </c>
      <c r="G290" s="288" t="s">
        <v>316</v>
      </c>
      <c r="H290" s="280" t="s">
        <v>323</v>
      </c>
      <c r="I290" s="309">
        <v>2014</v>
      </c>
      <c r="J290" s="281">
        <f t="shared" si="39"/>
        <v>360</v>
      </c>
      <c r="K290" s="281">
        <v>30</v>
      </c>
      <c r="L290" s="282">
        <f t="shared" ref="L290" si="98">J290/12</f>
        <v>30</v>
      </c>
      <c r="M290" s="282">
        <f t="shared" ref="M290" si="99">O$3-I290</f>
        <v>11</v>
      </c>
      <c r="N290" s="43">
        <f t="shared" ref="N290" si="100">M290/K290</f>
        <v>0.36666666666666664</v>
      </c>
      <c r="O290" s="1">
        <f t="shared" si="76"/>
        <v>279</v>
      </c>
    </row>
    <row r="291" spans="1:15" ht="36" customHeight="1" x14ac:dyDescent="0.2">
      <c r="A291" s="403"/>
      <c r="B291" s="276" t="s">
        <v>324</v>
      </c>
      <c r="C291" s="278" t="s">
        <v>325</v>
      </c>
      <c r="D291" s="278">
        <v>6</v>
      </c>
      <c r="E291" s="278">
        <v>1</v>
      </c>
      <c r="F291" s="278">
        <v>1</v>
      </c>
      <c r="G291" s="288" t="s">
        <v>316</v>
      </c>
      <c r="H291" s="280" t="s">
        <v>323</v>
      </c>
      <c r="I291" s="309">
        <v>2014</v>
      </c>
      <c r="J291" s="281">
        <f t="shared" si="39"/>
        <v>360</v>
      </c>
      <c r="K291" s="281">
        <v>30</v>
      </c>
      <c r="L291" s="282">
        <f t="shared" ref="L291" si="101">J291/12</f>
        <v>30</v>
      </c>
      <c r="M291" s="282">
        <f t="shared" ref="M291" si="102">O$3-I291</f>
        <v>11</v>
      </c>
      <c r="N291" s="43">
        <f t="shared" ref="N291" si="103">M291/K291</f>
        <v>0.36666666666666664</v>
      </c>
      <c r="O291" s="1">
        <f t="shared" si="76"/>
        <v>280</v>
      </c>
    </row>
    <row r="292" spans="1:15" ht="36" customHeight="1" thickBot="1" x14ac:dyDescent="0.25">
      <c r="A292" s="399"/>
      <c r="B292" s="285" t="s">
        <v>324</v>
      </c>
      <c r="C292" s="269" t="s">
        <v>325</v>
      </c>
      <c r="D292" s="269">
        <v>6</v>
      </c>
      <c r="E292" s="269">
        <v>1</v>
      </c>
      <c r="F292" s="269">
        <v>1</v>
      </c>
      <c r="G292" s="268" t="s">
        <v>316</v>
      </c>
      <c r="H292" s="287" t="s">
        <v>323</v>
      </c>
      <c r="I292" s="310">
        <v>2014</v>
      </c>
      <c r="J292" s="272">
        <f t="shared" si="39"/>
        <v>360</v>
      </c>
      <c r="K292" s="272">
        <v>30</v>
      </c>
      <c r="L292" s="273">
        <f t="shared" si="20"/>
        <v>30</v>
      </c>
      <c r="M292" s="273">
        <f t="shared" si="21"/>
        <v>11</v>
      </c>
      <c r="N292" s="33">
        <f t="shared" si="22"/>
        <v>0.36666666666666664</v>
      </c>
      <c r="O292" s="1">
        <f t="shared" si="76"/>
        <v>281</v>
      </c>
    </row>
    <row r="293" spans="1:15" ht="36" customHeight="1" x14ac:dyDescent="0.2">
      <c r="A293" s="398">
        <v>35</v>
      </c>
      <c r="B293" s="74" t="s">
        <v>326</v>
      </c>
      <c r="C293" s="37" t="s">
        <v>327</v>
      </c>
      <c r="D293" s="37">
        <v>6</v>
      </c>
      <c r="E293" s="37">
        <f>1.1/2</f>
        <v>0.55000000000000004</v>
      </c>
      <c r="F293" s="35">
        <v>1</v>
      </c>
      <c r="G293" s="34" t="s">
        <v>328</v>
      </c>
      <c r="H293" s="75" t="s">
        <v>321</v>
      </c>
      <c r="I293" s="307">
        <v>1995</v>
      </c>
      <c r="J293" s="40">
        <f t="shared" si="39"/>
        <v>360</v>
      </c>
      <c r="K293" s="40">
        <v>30</v>
      </c>
      <c r="L293" s="41">
        <f t="shared" ref="L293" si="104">J293/12</f>
        <v>30</v>
      </c>
      <c r="M293" s="41">
        <f t="shared" ref="M293" si="105">O$3-I293</f>
        <v>30</v>
      </c>
      <c r="N293" s="43">
        <f t="shared" ref="N293" si="106">M293/K293</f>
        <v>1</v>
      </c>
      <c r="O293" s="1">
        <f t="shared" si="76"/>
        <v>282</v>
      </c>
    </row>
    <row r="294" spans="1:15" ht="30.75" customHeight="1" thickBot="1" x14ac:dyDescent="0.25">
      <c r="A294" s="399"/>
      <c r="B294" s="56" t="s">
        <v>326</v>
      </c>
      <c r="C294" s="28" t="s">
        <v>327</v>
      </c>
      <c r="D294" s="28">
        <v>6</v>
      </c>
      <c r="E294" s="28">
        <v>0.55000000000000004</v>
      </c>
      <c r="F294" s="26">
        <v>1</v>
      </c>
      <c r="G294" s="25" t="s">
        <v>328</v>
      </c>
      <c r="H294" s="76" t="s">
        <v>321</v>
      </c>
      <c r="I294" s="308">
        <v>1995</v>
      </c>
      <c r="J294" s="31">
        <f t="shared" si="39"/>
        <v>360</v>
      </c>
      <c r="K294" s="31">
        <v>30</v>
      </c>
      <c r="L294" s="32">
        <f t="shared" si="20"/>
        <v>30</v>
      </c>
      <c r="M294" s="32">
        <f t="shared" si="21"/>
        <v>30</v>
      </c>
      <c r="N294" s="33">
        <f t="shared" si="22"/>
        <v>1</v>
      </c>
      <c r="O294" s="1">
        <f t="shared" si="76"/>
        <v>283</v>
      </c>
    </row>
    <row r="295" spans="1:15" ht="30.75" customHeight="1" x14ac:dyDescent="0.2">
      <c r="A295" s="404">
        <v>36</v>
      </c>
      <c r="B295" s="74" t="s">
        <v>329</v>
      </c>
      <c r="C295" s="37" t="s">
        <v>330</v>
      </c>
      <c r="D295" s="37">
        <v>6</v>
      </c>
      <c r="E295" s="37">
        <v>0.25</v>
      </c>
      <c r="F295" s="37">
        <v>1</v>
      </c>
      <c r="G295" s="59" t="s">
        <v>328</v>
      </c>
      <c r="H295" s="75" t="s">
        <v>321</v>
      </c>
      <c r="I295" s="68">
        <v>1999</v>
      </c>
      <c r="J295" s="40">
        <f t="shared" si="39"/>
        <v>360</v>
      </c>
      <c r="K295" s="40">
        <v>30</v>
      </c>
      <c r="L295" s="41">
        <f t="shared" ref="L295" si="107">J295/12</f>
        <v>30</v>
      </c>
      <c r="M295" s="41">
        <f t="shared" ref="M295" si="108">O$3-I295</f>
        <v>26</v>
      </c>
      <c r="N295" s="43">
        <f t="shared" ref="N295" si="109">M295/K295</f>
        <v>0.8666666666666667</v>
      </c>
      <c r="O295" s="1">
        <f t="shared" si="76"/>
        <v>284</v>
      </c>
    </row>
    <row r="296" spans="1:15" ht="35.25" customHeight="1" thickBot="1" x14ac:dyDescent="0.25">
      <c r="A296" s="405"/>
      <c r="B296" s="56" t="s">
        <v>329</v>
      </c>
      <c r="C296" s="28" t="s">
        <v>330</v>
      </c>
      <c r="D296" s="28">
        <v>6</v>
      </c>
      <c r="E296" s="28">
        <v>0.25</v>
      </c>
      <c r="F296" s="28">
        <v>1</v>
      </c>
      <c r="G296" s="67" t="s">
        <v>328</v>
      </c>
      <c r="H296" s="76" t="s">
        <v>321</v>
      </c>
      <c r="I296" s="362">
        <v>1999</v>
      </c>
      <c r="J296" s="31">
        <f t="shared" si="39"/>
        <v>360</v>
      </c>
      <c r="K296" s="31">
        <v>30</v>
      </c>
      <c r="L296" s="32">
        <f t="shared" si="20"/>
        <v>30</v>
      </c>
      <c r="M296" s="32">
        <f t="shared" si="21"/>
        <v>26</v>
      </c>
      <c r="N296" s="33">
        <f t="shared" si="22"/>
        <v>0.8666666666666667</v>
      </c>
      <c r="O296" s="1">
        <f t="shared" si="76"/>
        <v>285</v>
      </c>
    </row>
    <row r="297" spans="1:15" ht="35.25" customHeight="1" thickBot="1" x14ac:dyDescent="0.25">
      <c r="A297" s="398">
        <v>37</v>
      </c>
      <c r="B297" s="79" t="s">
        <v>331</v>
      </c>
      <c r="C297" s="77" t="s">
        <v>332</v>
      </c>
      <c r="D297" s="78">
        <v>6</v>
      </c>
      <c r="E297" s="78">
        <v>0.3</v>
      </c>
      <c r="F297" s="77">
        <v>1</v>
      </c>
      <c r="G297" s="98" t="s">
        <v>333</v>
      </c>
      <c r="H297" s="80" t="s">
        <v>334</v>
      </c>
      <c r="I297" s="97">
        <v>1988</v>
      </c>
      <c r="J297" s="81">
        <f t="shared" si="39"/>
        <v>360</v>
      </c>
      <c r="K297" s="81">
        <v>30</v>
      </c>
      <c r="L297" s="82">
        <f t="shared" ref="L297" si="110">J297/12</f>
        <v>30</v>
      </c>
      <c r="M297" s="82">
        <f t="shared" ref="M297" si="111">O$3-I297</f>
        <v>37</v>
      </c>
      <c r="N297" s="83">
        <f t="shared" ref="N297" si="112">M297/K297</f>
        <v>1.2333333333333334</v>
      </c>
      <c r="O297" s="1">
        <f t="shared" si="76"/>
        <v>286</v>
      </c>
    </row>
    <row r="298" spans="1:15" ht="34.5" customHeight="1" thickBot="1" x14ac:dyDescent="0.25">
      <c r="A298" s="399"/>
      <c r="B298" s="79" t="s">
        <v>331</v>
      </c>
      <c r="C298" s="77" t="s">
        <v>332</v>
      </c>
      <c r="D298" s="78">
        <v>6</v>
      </c>
      <c r="E298" s="78">
        <v>0.3</v>
      </c>
      <c r="F298" s="77">
        <v>1</v>
      </c>
      <c r="G298" s="98" t="s">
        <v>333</v>
      </c>
      <c r="H298" s="80" t="s">
        <v>334</v>
      </c>
      <c r="I298" s="97">
        <v>1988</v>
      </c>
      <c r="J298" s="81">
        <f t="shared" si="39"/>
        <v>360</v>
      </c>
      <c r="K298" s="81">
        <v>30</v>
      </c>
      <c r="L298" s="82">
        <f t="shared" si="20"/>
        <v>30</v>
      </c>
      <c r="M298" s="82">
        <f t="shared" si="21"/>
        <v>37</v>
      </c>
      <c r="N298" s="83">
        <f t="shared" si="22"/>
        <v>1.2333333333333334</v>
      </c>
      <c r="O298" s="1">
        <f t="shared" si="76"/>
        <v>287</v>
      </c>
    </row>
    <row r="299" spans="1:15" x14ac:dyDescent="0.2">
      <c r="A299" s="400"/>
      <c r="B299" s="401"/>
      <c r="C299" s="99"/>
      <c r="D299" s="99"/>
      <c r="E299" s="99"/>
      <c r="F299" s="100"/>
      <c r="G299" s="101"/>
      <c r="H299" s="102"/>
      <c r="I299" s="102"/>
      <c r="K299" s="103"/>
    </row>
    <row r="300" spans="1:15" ht="20.25" customHeight="1" x14ac:dyDescent="0.2">
      <c r="A300" s="402" t="s">
        <v>335</v>
      </c>
      <c r="B300" s="402"/>
      <c r="C300" s="104"/>
      <c r="D300" s="104"/>
      <c r="E300" s="105">
        <f>SUM(E11:E299)</f>
        <v>54.448999999999984</v>
      </c>
      <c r="F300" s="105">
        <f>SUM(F11:F299)</f>
        <v>293</v>
      </c>
      <c r="G300" s="106"/>
      <c r="H300" s="107"/>
      <c r="I300" s="107"/>
      <c r="J300" s="108">
        <f>J298</f>
        <v>360</v>
      </c>
      <c r="K300" s="108">
        <f>K298</f>
        <v>30</v>
      </c>
      <c r="L300" s="109">
        <f>L298</f>
        <v>30</v>
      </c>
      <c r="M300" s="109"/>
      <c r="N300" s="110">
        <f>SUM(N11:N299)/287</f>
        <v>0.84634146341463334</v>
      </c>
    </row>
    <row r="301" spans="1:15" x14ac:dyDescent="0.2">
      <c r="E301" s="111"/>
      <c r="H301" s="111"/>
      <c r="I301" s="111"/>
    </row>
    <row r="302" spans="1:15" x14ac:dyDescent="0.2">
      <c r="D302" s="112" t="s">
        <v>336</v>
      </c>
      <c r="E302" s="111" t="s">
        <v>337</v>
      </c>
      <c r="F302" s="111"/>
      <c r="G302" s="1" t="s">
        <v>666</v>
      </c>
      <c r="H302" s="111"/>
      <c r="I302" s="111"/>
      <c r="N302" s="103"/>
    </row>
    <row r="303" spans="1:15" x14ac:dyDescent="0.2">
      <c r="E303" s="111"/>
      <c r="N303" s="103"/>
    </row>
    <row r="304" spans="1:15" x14ac:dyDescent="0.2">
      <c r="B304" s="113"/>
      <c r="C304" s="114" t="s">
        <v>338</v>
      </c>
      <c r="D304" s="1">
        <f>E125+E126</f>
        <v>1.117</v>
      </c>
      <c r="E304" s="103">
        <f>E11+E12+E14+E15+E16+E17+E20+E21+E26+E27+E30+E31+E36+E41+E47+E53+E54+E66+E68+E69+E79+E80+E90+E91+E92+E102+E107+E111+E112+E117+E118+E119+E120+E121+E122+E127+E128+E129+E136+E157+E159+E160+E161+E162+E163+E177+E178+E179+E180+E181+E182+E183+E196+E197+E208+E209+E210+E211+E216+E217+E220+E221+E244+E245+E256+E257+E258+E259+E270+E271+E73</f>
        <v>11.98299999999999</v>
      </c>
      <c r="F304" s="103">
        <f>D304+E304</f>
        <v>13.099999999999991</v>
      </c>
      <c r="G304" s="303">
        <f>F304/F307*100</f>
        <v>24.059211372109669</v>
      </c>
    </row>
    <row r="305" spans="3:14" x14ac:dyDescent="0.2">
      <c r="C305" s="115" t="s">
        <v>339</v>
      </c>
      <c r="D305" s="1">
        <f>E275+E276+E289+E290+E291+E292</f>
        <v>4.4370000000000003</v>
      </c>
      <c r="E305" s="116">
        <f>E28+E29+E42+E46+E48+E49+E51+E52+E58+E59+E60+E61+E62+E67+E86+E87+E88+E89+E94+E95+E96+E97+E98+E146+E154+E155+E169+E170+E198+E199+E200+E201+E202+E203+E214+E215+E218+E219+E226+E227+E248+E249+E260+E277+E278+E149+E85+E93+E176+E158</f>
        <v>8.6849999999999987</v>
      </c>
      <c r="F305" s="103">
        <f>D305+E305</f>
        <v>13.122</v>
      </c>
      <c r="G305" s="303">
        <f>F305/F307*100</f>
        <v>24.099616154566665</v>
      </c>
      <c r="H305" s="103"/>
      <c r="N305" s="103"/>
    </row>
    <row r="306" spans="3:14" x14ac:dyDescent="0.2">
      <c r="C306" s="113" t="s">
        <v>340</v>
      </c>
      <c r="D306" s="1">
        <f>E279+E280+E281+E282+E283+E284+E285+E286+E287+E288+E293+E294+E295+E296+E297+E298</f>
        <v>5.9699999999999989</v>
      </c>
      <c r="E306" s="116">
        <f>E13+E18+E19+E22+E23+E24+E25+E32+E33+E34+E35+E37+E38+E39+E40+E43+E44+E45+E50+E55+E56+E57+E63+E64+E65+E70+E71+E72+E74+E75+E76+E77+E78+E81+E82+E83+E84+E99+E100+E101+E103+E104+E105+E106+E108+E109+E110+E113+E114+E115+E116+E123+E124+E130+E131+E132+E133+E134+E135+E137+E138+E139+E140+E141+E142+E143+E144+E145+E147+E148+E150+E151+E152+E153+E156+E164+E165+E166+E167+E168+E171+E172+E173+E174+E175+E184+E185+E186+E187+E188+E189+E190+E191+E192+E193+E194+E195+E204+E205+E206+E207+E212+E213+E222+E223+E224+E225+E228+E229+E230+E232++E231+E233+E234+E235+E236+E237+E238+E239+E240+E241+E242+E243+E246+E247+E250+E251+E252+E253+E254+E255+E261+E262+E263+E264+E265+E266+E267+E268+E269+E272+E273+E274</f>
        <v>22.257000000000001</v>
      </c>
      <c r="F306" s="103">
        <f>D306+E306</f>
        <v>28.227</v>
      </c>
      <c r="G306" s="303">
        <f>F306/F307*100</f>
        <v>51.841172473323674</v>
      </c>
      <c r="H306" s="103"/>
    </row>
    <row r="307" spans="3:14" x14ac:dyDescent="0.2">
      <c r="C307" s="300" t="s">
        <v>665</v>
      </c>
      <c r="D307" s="301">
        <f>D304+D305+D306</f>
        <v>11.523999999999999</v>
      </c>
      <c r="E307" s="301">
        <f>E304+E305+E306</f>
        <v>42.92499999999999</v>
      </c>
      <c r="F307" s="302">
        <f>F304+F305+F306</f>
        <v>54.448999999999991</v>
      </c>
      <c r="G307" s="303">
        <f>G304+G305+G306</f>
        <v>100</v>
      </c>
    </row>
    <row r="308" spans="3:14" x14ac:dyDescent="0.2">
      <c r="D308" s="1">
        <v>11.523999999999999</v>
      </c>
      <c r="E308" s="1">
        <v>42.555</v>
      </c>
      <c r="F308" s="103">
        <v>54.079000000000001</v>
      </c>
    </row>
    <row r="309" spans="3:14" x14ac:dyDescent="0.2">
      <c r="D309" s="103">
        <f>D308-D307</f>
        <v>0</v>
      </c>
      <c r="E309" s="103">
        <f>E308-E307</f>
        <v>-0.36999999999999034</v>
      </c>
    </row>
    <row r="315" spans="3:14" x14ac:dyDescent="0.2">
      <c r="C315" s="1" t="s">
        <v>797</v>
      </c>
      <c r="D315" s="1">
        <f>F125+F126+F275+F276+F279+F280+F281+F282+F283+F284+F285+F286+F287+F288+F290+F291+F292+F293+F294+F295+F296+F297+F298</f>
        <v>23</v>
      </c>
      <c r="E315" s="103"/>
      <c r="F315" s="103"/>
    </row>
    <row r="316" spans="3:14" x14ac:dyDescent="0.2">
      <c r="F316" s="103"/>
    </row>
  </sheetData>
  <autoFilter ref="A7:N298" xr:uid="{07A5A381-B457-4972-9C3B-8D7F6761EAC0}">
    <filterColumn colId="9" showButton="0"/>
  </autoFilter>
  <mergeCells count="59">
    <mergeCell ref="F270:F271"/>
    <mergeCell ref="E2:F2"/>
    <mergeCell ref="A3:F3"/>
    <mergeCell ref="B4:F4"/>
    <mergeCell ref="A7:A10"/>
    <mergeCell ref="B7:B10"/>
    <mergeCell ref="C7:C10"/>
    <mergeCell ref="D7:D10"/>
    <mergeCell ref="E7:E10"/>
    <mergeCell ref="F7:F10"/>
    <mergeCell ref="A11:A19"/>
    <mergeCell ref="A20:A31"/>
    <mergeCell ref="A32:A38"/>
    <mergeCell ref="A39:A40"/>
    <mergeCell ref="A41:A48"/>
    <mergeCell ref="A160:A166"/>
    <mergeCell ref="N7:N10"/>
    <mergeCell ref="J8:J10"/>
    <mergeCell ref="K8:K10"/>
    <mergeCell ref="M7:M10"/>
    <mergeCell ref="G7:G10"/>
    <mergeCell ref="H7:H10"/>
    <mergeCell ref="I7:I10"/>
    <mergeCell ref="J7:K7"/>
    <mergeCell ref="L7:L10"/>
    <mergeCell ref="F53:F54"/>
    <mergeCell ref="A55:A60"/>
    <mergeCell ref="A61:A67"/>
    <mergeCell ref="A68:A78"/>
    <mergeCell ref="A79:A92"/>
    <mergeCell ref="A49:A54"/>
    <mergeCell ref="A93:A105"/>
    <mergeCell ref="A106:A116"/>
    <mergeCell ref="A117:A126"/>
    <mergeCell ref="A127:A145"/>
    <mergeCell ref="A146:A159"/>
    <mergeCell ref="A275:A278"/>
    <mergeCell ref="A167:A179"/>
    <mergeCell ref="A180:A189"/>
    <mergeCell ref="A190:A201"/>
    <mergeCell ref="A202:A213"/>
    <mergeCell ref="A214:A215"/>
    <mergeCell ref="A216:A233"/>
    <mergeCell ref="A234:A247"/>
    <mergeCell ref="A248:A255"/>
    <mergeCell ref="A256:A259"/>
    <mergeCell ref="A260:A271"/>
    <mergeCell ref="A272:A274"/>
    <mergeCell ref="A297:A298"/>
    <mergeCell ref="A299:B299"/>
    <mergeCell ref="A300:B300"/>
    <mergeCell ref="A279:A280"/>
    <mergeCell ref="A281:A282"/>
    <mergeCell ref="A283:A284"/>
    <mergeCell ref="A285:A286"/>
    <mergeCell ref="A287:A288"/>
    <mergeCell ref="A289:A292"/>
    <mergeCell ref="A293:A294"/>
    <mergeCell ref="A295:A296"/>
  </mergeCells>
  <pageMargins left="0.70866141732283472" right="0.70866141732283472" top="0.74803149606299213" bottom="0.74803149606299213" header="0.31496062992125984" footer="0.31496062992125984"/>
  <pageSetup paperSize="9" scale="92" fitToHeight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7678-1C0B-4D5B-9426-4F27917D45FD}">
  <dimension ref="A1:Y138"/>
  <sheetViews>
    <sheetView workbookViewId="0">
      <pane ySplit="5" topLeftCell="A96" activePane="bottomLeft" state="frozen"/>
      <selection activeCell="B1" sqref="B1"/>
      <selection pane="bottomLeft" activeCell="F102" sqref="F102"/>
    </sheetView>
  </sheetViews>
  <sheetFormatPr defaultRowHeight="15" outlineLevelCol="1" x14ac:dyDescent="0.25"/>
  <cols>
    <col min="1" max="1" width="9.42578125" style="175" customWidth="1"/>
    <col min="2" max="2" width="16.5703125" style="175" customWidth="1"/>
    <col min="3" max="3" width="17.42578125" style="123" customWidth="1"/>
    <col min="4" max="4" width="16.5703125" style="118" customWidth="1"/>
    <col min="5" max="5" width="9.85546875" style="118" customWidth="1"/>
    <col min="6" max="6" width="42.42578125" style="118" customWidth="1"/>
    <col min="7" max="7" width="18.140625" style="118" customWidth="1"/>
    <col min="8" max="8" width="14" style="118" customWidth="1"/>
    <col min="9" max="9" width="17.140625" style="118" customWidth="1"/>
    <col min="10" max="11" width="10.85546875" style="118" customWidth="1"/>
    <col min="12" max="12" width="10.85546875" style="118" customWidth="1" outlineLevel="1"/>
    <col min="13" max="14" width="10.85546875" style="118" customWidth="1"/>
    <col min="15" max="256" width="9.140625" style="118"/>
    <col min="257" max="257" width="9.42578125" style="118" customWidth="1"/>
    <col min="258" max="258" width="16.5703125" style="118" customWidth="1"/>
    <col min="259" max="259" width="17.42578125" style="118" customWidth="1"/>
    <col min="260" max="260" width="16.5703125" style="118" customWidth="1"/>
    <col min="261" max="261" width="9.85546875" style="118" customWidth="1"/>
    <col min="262" max="262" width="42.42578125" style="118" customWidth="1"/>
    <col min="263" max="263" width="18.140625" style="118" customWidth="1"/>
    <col min="264" max="264" width="14" style="118" customWidth="1"/>
    <col min="265" max="265" width="17.140625" style="118" customWidth="1"/>
    <col min="266" max="270" width="10.85546875" style="118" customWidth="1"/>
    <col min="271" max="512" width="9.140625" style="118"/>
    <col min="513" max="513" width="9.42578125" style="118" customWidth="1"/>
    <col min="514" max="514" width="16.5703125" style="118" customWidth="1"/>
    <col min="515" max="515" width="17.42578125" style="118" customWidth="1"/>
    <col min="516" max="516" width="16.5703125" style="118" customWidth="1"/>
    <col min="517" max="517" width="9.85546875" style="118" customWidth="1"/>
    <col min="518" max="518" width="42.42578125" style="118" customWidth="1"/>
    <col min="519" max="519" width="18.140625" style="118" customWidth="1"/>
    <col min="520" max="520" width="14" style="118" customWidth="1"/>
    <col min="521" max="521" width="17.140625" style="118" customWidth="1"/>
    <col min="522" max="526" width="10.85546875" style="118" customWidth="1"/>
    <col min="527" max="768" width="9.140625" style="118"/>
    <col min="769" max="769" width="9.42578125" style="118" customWidth="1"/>
    <col min="770" max="770" width="16.5703125" style="118" customWidth="1"/>
    <col min="771" max="771" width="17.42578125" style="118" customWidth="1"/>
    <col min="772" max="772" width="16.5703125" style="118" customWidth="1"/>
    <col min="773" max="773" width="9.85546875" style="118" customWidth="1"/>
    <col min="774" max="774" width="42.42578125" style="118" customWidth="1"/>
    <col min="775" max="775" width="18.140625" style="118" customWidth="1"/>
    <col min="776" max="776" width="14" style="118" customWidth="1"/>
    <col min="777" max="777" width="17.140625" style="118" customWidth="1"/>
    <col min="778" max="782" width="10.85546875" style="118" customWidth="1"/>
    <col min="783" max="1024" width="9.140625" style="118"/>
    <col min="1025" max="1025" width="9.42578125" style="118" customWidth="1"/>
    <col min="1026" max="1026" width="16.5703125" style="118" customWidth="1"/>
    <col min="1027" max="1027" width="17.42578125" style="118" customWidth="1"/>
    <col min="1028" max="1028" width="16.5703125" style="118" customWidth="1"/>
    <col min="1029" max="1029" width="9.85546875" style="118" customWidth="1"/>
    <col min="1030" max="1030" width="42.42578125" style="118" customWidth="1"/>
    <col min="1031" max="1031" width="18.140625" style="118" customWidth="1"/>
    <col min="1032" max="1032" width="14" style="118" customWidth="1"/>
    <col min="1033" max="1033" width="17.140625" style="118" customWidth="1"/>
    <col min="1034" max="1038" width="10.85546875" style="118" customWidth="1"/>
    <col min="1039" max="1280" width="9.140625" style="118"/>
    <col min="1281" max="1281" width="9.42578125" style="118" customWidth="1"/>
    <col min="1282" max="1282" width="16.5703125" style="118" customWidth="1"/>
    <col min="1283" max="1283" width="17.42578125" style="118" customWidth="1"/>
    <col min="1284" max="1284" width="16.5703125" style="118" customWidth="1"/>
    <col min="1285" max="1285" width="9.85546875" style="118" customWidth="1"/>
    <col min="1286" max="1286" width="42.42578125" style="118" customWidth="1"/>
    <col min="1287" max="1287" width="18.140625" style="118" customWidth="1"/>
    <col min="1288" max="1288" width="14" style="118" customWidth="1"/>
    <col min="1289" max="1289" width="17.140625" style="118" customWidth="1"/>
    <col min="1290" max="1294" width="10.85546875" style="118" customWidth="1"/>
    <col min="1295" max="1536" width="9.140625" style="118"/>
    <col min="1537" max="1537" width="9.42578125" style="118" customWidth="1"/>
    <col min="1538" max="1538" width="16.5703125" style="118" customWidth="1"/>
    <col min="1539" max="1539" width="17.42578125" style="118" customWidth="1"/>
    <col min="1540" max="1540" width="16.5703125" style="118" customWidth="1"/>
    <col min="1541" max="1541" width="9.85546875" style="118" customWidth="1"/>
    <col min="1542" max="1542" width="42.42578125" style="118" customWidth="1"/>
    <col min="1543" max="1543" width="18.140625" style="118" customWidth="1"/>
    <col min="1544" max="1544" width="14" style="118" customWidth="1"/>
    <col min="1545" max="1545" width="17.140625" style="118" customWidth="1"/>
    <col min="1546" max="1550" width="10.85546875" style="118" customWidth="1"/>
    <col min="1551" max="1792" width="9.140625" style="118"/>
    <col min="1793" max="1793" width="9.42578125" style="118" customWidth="1"/>
    <col min="1794" max="1794" width="16.5703125" style="118" customWidth="1"/>
    <col min="1795" max="1795" width="17.42578125" style="118" customWidth="1"/>
    <col min="1796" max="1796" width="16.5703125" style="118" customWidth="1"/>
    <col min="1797" max="1797" width="9.85546875" style="118" customWidth="1"/>
    <col min="1798" max="1798" width="42.42578125" style="118" customWidth="1"/>
    <col min="1799" max="1799" width="18.140625" style="118" customWidth="1"/>
    <col min="1800" max="1800" width="14" style="118" customWidth="1"/>
    <col min="1801" max="1801" width="17.140625" style="118" customWidth="1"/>
    <col min="1802" max="1806" width="10.85546875" style="118" customWidth="1"/>
    <col min="1807" max="2048" width="9.140625" style="118"/>
    <col min="2049" max="2049" width="9.42578125" style="118" customWidth="1"/>
    <col min="2050" max="2050" width="16.5703125" style="118" customWidth="1"/>
    <col min="2051" max="2051" width="17.42578125" style="118" customWidth="1"/>
    <col min="2052" max="2052" width="16.5703125" style="118" customWidth="1"/>
    <col min="2053" max="2053" width="9.85546875" style="118" customWidth="1"/>
    <col min="2054" max="2054" width="42.42578125" style="118" customWidth="1"/>
    <col min="2055" max="2055" width="18.140625" style="118" customWidth="1"/>
    <col min="2056" max="2056" width="14" style="118" customWidth="1"/>
    <col min="2057" max="2057" width="17.140625" style="118" customWidth="1"/>
    <col min="2058" max="2062" width="10.85546875" style="118" customWidth="1"/>
    <col min="2063" max="2304" width="9.140625" style="118"/>
    <col min="2305" max="2305" width="9.42578125" style="118" customWidth="1"/>
    <col min="2306" max="2306" width="16.5703125" style="118" customWidth="1"/>
    <col min="2307" max="2307" width="17.42578125" style="118" customWidth="1"/>
    <col min="2308" max="2308" width="16.5703125" style="118" customWidth="1"/>
    <col min="2309" max="2309" width="9.85546875" style="118" customWidth="1"/>
    <col min="2310" max="2310" width="42.42578125" style="118" customWidth="1"/>
    <col min="2311" max="2311" width="18.140625" style="118" customWidth="1"/>
    <col min="2312" max="2312" width="14" style="118" customWidth="1"/>
    <col min="2313" max="2313" width="17.140625" style="118" customWidth="1"/>
    <col min="2314" max="2318" width="10.85546875" style="118" customWidth="1"/>
    <col min="2319" max="2560" width="9.140625" style="118"/>
    <col min="2561" max="2561" width="9.42578125" style="118" customWidth="1"/>
    <col min="2562" max="2562" width="16.5703125" style="118" customWidth="1"/>
    <col min="2563" max="2563" width="17.42578125" style="118" customWidth="1"/>
    <col min="2564" max="2564" width="16.5703125" style="118" customWidth="1"/>
    <col min="2565" max="2565" width="9.85546875" style="118" customWidth="1"/>
    <col min="2566" max="2566" width="42.42578125" style="118" customWidth="1"/>
    <col min="2567" max="2567" width="18.140625" style="118" customWidth="1"/>
    <col min="2568" max="2568" width="14" style="118" customWidth="1"/>
    <col min="2569" max="2569" width="17.140625" style="118" customWidth="1"/>
    <col min="2570" max="2574" width="10.85546875" style="118" customWidth="1"/>
    <col min="2575" max="2816" width="9.140625" style="118"/>
    <col min="2817" max="2817" width="9.42578125" style="118" customWidth="1"/>
    <col min="2818" max="2818" width="16.5703125" style="118" customWidth="1"/>
    <col min="2819" max="2819" width="17.42578125" style="118" customWidth="1"/>
    <col min="2820" max="2820" width="16.5703125" style="118" customWidth="1"/>
    <col min="2821" max="2821" width="9.85546875" style="118" customWidth="1"/>
    <col min="2822" max="2822" width="42.42578125" style="118" customWidth="1"/>
    <col min="2823" max="2823" width="18.140625" style="118" customWidth="1"/>
    <col min="2824" max="2824" width="14" style="118" customWidth="1"/>
    <col min="2825" max="2825" width="17.140625" style="118" customWidth="1"/>
    <col min="2826" max="2830" width="10.85546875" style="118" customWidth="1"/>
    <col min="2831" max="3072" width="9.140625" style="118"/>
    <col min="3073" max="3073" width="9.42578125" style="118" customWidth="1"/>
    <col min="3074" max="3074" width="16.5703125" style="118" customWidth="1"/>
    <col min="3075" max="3075" width="17.42578125" style="118" customWidth="1"/>
    <col min="3076" max="3076" width="16.5703125" style="118" customWidth="1"/>
    <col min="3077" max="3077" width="9.85546875" style="118" customWidth="1"/>
    <col min="3078" max="3078" width="42.42578125" style="118" customWidth="1"/>
    <col min="3079" max="3079" width="18.140625" style="118" customWidth="1"/>
    <col min="3080" max="3080" width="14" style="118" customWidth="1"/>
    <col min="3081" max="3081" width="17.140625" style="118" customWidth="1"/>
    <col min="3082" max="3086" width="10.85546875" style="118" customWidth="1"/>
    <col min="3087" max="3328" width="9.140625" style="118"/>
    <col min="3329" max="3329" width="9.42578125" style="118" customWidth="1"/>
    <col min="3330" max="3330" width="16.5703125" style="118" customWidth="1"/>
    <col min="3331" max="3331" width="17.42578125" style="118" customWidth="1"/>
    <col min="3332" max="3332" width="16.5703125" style="118" customWidth="1"/>
    <col min="3333" max="3333" width="9.85546875" style="118" customWidth="1"/>
    <col min="3334" max="3334" width="42.42578125" style="118" customWidth="1"/>
    <col min="3335" max="3335" width="18.140625" style="118" customWidth="1"/>
    <col min="3336" max="3336" width="14" style="118" customWidth="1"/>
    <col min="3337" max="3337" width="17.140625" style="118" customWidth="1"/>
    <col min="3338" max="3342" width="10.85546875" style="118" customWidth="1"/>
    <col min="3343" max="3584" width="9.140625" style="118"/>
    <col min="3585" max="3585" width="9.42578125" style="118" customWidth="1"/>
    <col min="3586" max="3586" width="16.5703125" style="118" customWidth="1"/>
    <col min="3587" max="3587" width="17.42578125" style="118" customWidth="1"/>
    <col min="3588" max="3588" width="16.5703125" style="118" customWidth="1"/>
    <col min="3589" max="3589" width="9.85546875" style="118" customWidth="1"/>
    <col min="3590" max="3590" width="42.42578125" style="118" customWidth="1"/>
    <col min="3591" max="3591" width="18.140625" style="118" customWidth="1"/>
    <col min="3592" max="3592" width="14" style="118" customWidth="1"/>
    <col min="3593" max="3593" width="17.140625" style="118" customWidth="1"/>
    <col min="3594" max="3598" width="10.85546875" style="118" customWidth="1"/>
    <col min="3599" max="3840" width="9.140625" style="118"/>
    <col min="3841" max="3841" width="9.42578125" style="118" customWidth="1"/>
    <col min="3842" max="3842" width="16.5703125" style="118" customWidth="1"/>
    <col min="3843" max="3843" width="17.42578125" style="118" customWidth="1"/>
    <col min="3844" max="3844" width="16.5703125" style="118" customWidth="1"/>
    <col min="3845" max="3845" width="9.85546875" style="118" customWidth="1"/>
    <col min="3846" max="3846" width="42.42578125" style="118" customWidth="1"/>
    <col min="3847" max="3847" width="18.140625" style="118" customWidth="1"/>
    <col min="3848" max="3848" width="14" style="118" customWidth="1"/>
    <col min="3849" max="3849" width="17.140625" style="118" customWidth="1"/>
    <col min="3850" max="3854" width="10.85546875" style="118" customWidth="1"/>
    <col min="3855" max="4096" width="9.140625" style="118"/>
    <col min="4097" max="4097" width="9.42578125" style="118" customWidth="1"/>
    <col min="4098" max="4098" width="16.5703125" style="118" customWidth="1"/>
    <col min="4099" max="4099" width="17.42578125" style="118" customWidth="1"/>
    <col min="4100" max="4100" width="16.5703125" style="118" customWidth="1"/>
    <col min="4101" max="4101" width="9.85546875" style="118" customWidth="1"/>
    <col min="4102" max="4102" width="42.42578125" style="118" customWidth="1"/>
    <col min="4103" max="4103" width="18.140625" style="118" customWidth="1"/>
    <col min="4104" max="4104" width="14" style="118" customWidth="1"/>
    <col min="4105" max="4105" width="17.140625" style="118" customWidth="1"/>
    <col min="4106" max="4110" width="10.85546875" style="118" customWidth="1"/>
    <col min="4111" max="4352" width="9.140625" style="118"/>
    <col min="4353" max="4353" width="9.42578125" style="118" customWidth="1"/>
    <col min="4354" max="4354" width="16.5703125" style="118" customWidth="1"/>
    <col min="4355" max="4355" width="17.42578125" style="118" customWidth="1"/>
    <col min="4356" max="4356" width="16.5703125" style="118" customWidth="1"/>
    <col min="4357" max="4357" width="9.85546875" style="118" customWidth="1"/>
    <col min="4358" max="4358" width="42.42578125" style="118" customWidth="1"/>
    <col min="4359" max="4359" width="18.140625" style="118" customWidth="1"/>
    <col min="4360" max="4360" width="14" style="118" customWidth="1"/>
    <col min="4361" max="4361" width="17.140625" style="118" customWidth="1"/>
    <col min="4362" max="4366" width="10.85546875" style="118" customWidth="1"/>
    <col min="4367" max="4608" width="9.140625" style="118"/>
    <col min="4609" max="4609" width="9.42578125" style="118" customWidth="1"/>
    <col min="4610" max="4610" width="16.5703125" style="118" customWidth="1"/>
    <col min="4611" max="4611" width="17.42578125" style="118" customWidth="1"/>
    <col min="4612" max="4612" width="16.5703125" style="118" customWidth="1"/>
    <col min="4613" max="4613" width="9.85546875" style="118" customWidth="1"/>
    <col min="4614" max="4614" width="42.42578125" style="118" customWidth="1"/>
    <col min="4615" max="4615" width="18.140625" style="118" customWidth="1"/>
    <col min="4616" max="4616" width="14" style="118" customWidth="1"/>
    <col min="4617" max="4617" width="17.140625" style="118" customWidth="1"/>
    <col min="4618" max="4622" width="10.85546875" style="118" customWidth="1"/>
    <col min="4623" max="4864" width="9.140625" style="118"/>
    <col min="4865" max="4865" width="9.42578125" style="118" customWidth="1"/>
    <col min="4866" max="4866" width="16.5703125" style="118" customWidth="1"/>
    <col min="4867" max="4867" width="17.42578125" style="118" customWidth="1"/>
    <col min="4868" max="4868" width="16.5703125" style="118" customWidth="1"/>
    <col min="4869" max="4869" width="9.85546875" style="118" customWidth="1"/>
    <col min="4870" max="4870" width="42.42578125" style="118" customWidth="1"/>
    <col min="4871" max="4871" width="18.140625" style="118" customWidth="1"/>
    <col min="4872" max="4872" width="14" style="118" customWidth="1"/>
    <col min="4873" max="4873" width="17.140625" style="118" customWidth="1"/>
    <col min="4874" max="4878" width="10.85546875" style="118" customWidth="1"/>
    <col min="4879" max="5120" width="9.140625" style="118"/>
    <col min="5121" max="5121" width="9.42578125" style="118" customWidth="1"/>
    <col min="5122" max="5122" width="16.5703125" style="118" customWidth="1"/>
    <col min="5123" max="5123" width="17.42578125" style="118" customWidth="1"/>
    <col min="5124" max="5124" width="16.5703125" style="118" customWidth="1"/>
    <col min="5125" max="5125" width="9.85546875" style="118" customWidth="1"/>
    <col min="5126" max="5126" width="42.42578125" style="118" customWidth="1"/>
    <col min="5127" max="5127" width="18.140625" style="118" customWidth="1"/>
    <col min="5128" max="5128" width="14" style="118" customWidth="1"/>
    <col min="5129" max="5129" width="17.140625" style="118" customWidth="1"/>
    <col min="5130" max="5134" width="10.85546875" style="118" customWidth="1"/>
    <col min="5135" max="5376" width="9.140625" style="118"/>
    <col min="5377" max="5377" width="9.42578125" style="118" customWidth="1"/>
    <col min="5378" max="5378" width="16.5703125" style="118" customWidth="1"/>
    <col min="5379" max="5379" width="17.42578125" style="118" customWidth="1"/>
    <col min="5380" max="5380" width="16.5703125" style="118" customWidth="1"/>
    <col min="5381" max="5381" width="9.85546875" style="118" customWidth="1"/>
    <col min="5382" max="5382" width="42.42578125" style="118" customWidth="1"/>
    <col min="5383" max="5383" width="18.140625" style="118" customWidth="1"/>
    <col min="5384" max="5384" width="14" style="118" customWidth="1"/>
    <col min="5385" max="5385" width="17.140625" style="118" customWidth="1"/>
    <col min="5386" max="5390" width="10.85546875" style="118" customWidth="1"/>
    <col min="5391" max="5632" width="9.140625" style="118"/>
    <col min="5633" max="5633" width="9.42578125" style="118" customWidth="1"/>
    <col min="5634" max="5634" width="16.5703125" style="118" customWidth="1"/>
    <col min="5635" max="5635" width="17.42578125" style="118" customWidth="1"/>
    <col min="5636" max="5636" width="16.5703125" style="118" customWidth="1"/>
    <col min="5637" max="5637" width="9.85546875" style="118" customWidth="1"/>
    <col min="5638" max="5638" width="42.42578125" style="118" customWidth="1"/>
    <col min="5639" max="5639" width="18.140625" style="118" customWidth="1"/>
    <col min="5640" max="5640" width="14" style="118" customWidth="1"/>
    <col min="5641" max="5641" width="17.140625" style="118" customWidth="1"/>
    <col min="5642" max="5646" width="10.85546875" style="118" customWidth="1"/>
    <col min="5647" max="5888" width="9.140625" style="118"/>
    <col min="5889" max="5889" width="9.42578125" style="118" customWidth="1"/>
    <col min="5890" max="5890" width="16.5703125" style="118" customWidth="1"/>
    <col min="5891" max="5891" width="17.42578125" style="118" customWidth="1"/>
    <col min="5892" max="5892" width="16.5703125" style="118" customWidth="1"/>
    <col min="5893" max="5893" width="9.85546875" style="118" customWidth="1"/>
    <col min="5894" max="5894" width="42.42578125" style="118" customWidth="1"/>
    <col min="5895" max="5895" width="18.140625" style="118" customWidth="1"/>
    <col min="5896" max="5896" width="14" style="118" customWidth="1"/>
    <col min="5897" max="5897" width="17.140625" style="118" customWidth="1"/>
    <col min="5898" max="5902" width="10.85546875" style="118" customWidth="1"/>
    <col min="5903" max="6144" width="9.140625" style="118"/>
    <col min="6145" max="6145" width="9.42578125" style="118" customWidth="1"/>
    <col min="6146" max="6146" width="16.5703125" style="118" customWidth="1"/>
    <col min="6147" max="6147" width="17.42578125" style="118" customWidth="1"/>
    <col min="6148" max="6148" width="16.5703125" style="118" customWidth="1"/>
    <col min="6149" max="6149" width="9.85546875" style="118" customWidth="1"/>
    <col min="6150" max="6150" width="42.42578125" style="118" customWidth="1"/>
    <col min="6151" max="6151" width="18.140625" style="118" customWidth="1"/>
    <col min="6152" max="6152" width="14" style="118" customWidth="1"/>
    <col min="6153" max="6153" width="17.140625" style="118" customWidth="1"/>
    <col min="6154" max="6158" width="10.85546875" style="118" customWidth="1"/>
    <col min="6159" max="6400" width="9.140625" style="118"/>
    <col min="6401" max="6401" width="9.42578125" style="118" customWidth="1"/>
    <col min="6402" max="6402" width="16.5703125" style="118" customWidth="1"/>
    <col min="6403" max="6403" width="17.42578125" style="118" customWidth="1"/>
    <col min="6404" max="6404" width="16.5703125" style="118" customWidth="1"/>
    <col min="6405" max="6405" width="9.85546875" style="118" customWidth="1"/>
    <col min="6406" max="6406" width="42.42578125" style="118" customWidth="1"/>
    <col min="6407" max="6407" width="18.140625" style="118" customWidth="1"/>
    <col min="6408" max="6408" width="14" style="118" customWidth="1"/>
    <col min="6409" max="6409" width="17.140625" style="118" customWidth="1"/>
    <col min="6410" max="6414" width="10.85546875" style="118" customWidth="1"/>
    <col min="6415" max="6656" width="9.140625" style="118"/>
    <col min="6657" max="6657" width="9.42578125" style="118" customWidth="1"/>
    <col min="6658" max="6658" width="16.5703125" style="118" customWidth="1"/>
    <col min="6659" max="6659" width="17.42578125" style="118" customWidth="1"/>
    <col min="6660" max="6660" width="16.5703125" style="118" customWidth="1"/>
    <col min="6661" max="6661" width="9.85546875" style="118" customWidth="1"/>
    <col min="6662" max="6662" width="42.42578125" style="118" customWidth="1"/>
    <col min="6663" max="6663" width="18.140625" style="118" customWidth="1"/>
    <col min="6664" max="6664" width="14" style="118" customWidth="1"/>
    <col min="6665" max="6665" width="17.140625" style="118" customWidth="1"/>
    <col min="6666" max="6670" width="10.85546875" style="118" customWidth="1"/>
    <col min="6671" max="6912" width="9.140625" style="118"/>
    <col min="6913" max="6913" width="9.42578125" style="118" customWidth="1"/>
    <col min="6914" max="6914" width="16.5703125" style="118" customWidth="1"/>
    <col min="6915" max="6915" width="17.42578125" style="118" customWidth="1"/>
    <col min="6916" max="6916" width="16.5703125" style="118" customWidth="1"/>
    <col min="6917" max="6917" width="9.85546875" style="118" customWidth="1"/>
    <col min="6918" max="6918" width="42.42578125" style="118" customWidth="1"/>
    <col min="6919" max="6919" width="18.140625" style="118" customWidth="1"/>
    <col min="6920" max="6920" width="14" style="118" customWidth="1"/>
    <col min="6921" max="6921" width="17.140625" style="118" customWidth="1"/>
    <col min="6922" max="6926" width="10.85546875" style="118" customWidth="1"/>
    <col min="6927" max="7168" width="9.140625" style="118"/>
    <col min="7169" max="7169" width="9.42578125" style="118" customWidth="1"/>
    <col min="7170" max="7170" width="16.5703125" style="118" customWidth="1"/>
    <col min="7171" max="7171" width="17.42578125" style="118" customWidth="1"/>
    <col min="7172" max="7172" width="16.5703125" style="118" customWidth="1"/>
    <col min="7173" max="7173" width="9.85546875" style="118" customWidth="1"/>
    <col min="7174" max="7174" width="42.42578125" style="118" customWidth="1"/>
    <col min="7175" max="7175" width="18.140625" style="118" customWidth="1"/>
    <col min="7176" max="7176" width="14" style="118" customWidth="1"/>
    <col min="7177" max="7177" width="17.140625" style="118" customWidth="1"/>
    <col min="7178" max="7182" width="10.85546875" style="118" customWidth="1"/>
    <col min="7183" max="7424" width="9.140625" style="118"/>
    <col min="7425" max="7425" width="9.42578125" style="118" customWidth="1"/>
    <col min="7426" max="7426" width="16.5703125" style="118" customWidth="1"/>
    <col min="7427" max="7427" width="17.42578125" style="118" customWidth="1"/>
    <col min="7428" max="7428" width="16.5703125" style="118" customWidth="1"/>
    <col min="7429" max="7429" width="9.85546875" style="118" customWidth="1"/>
    <col min="7430" max="7430" width="42.42578125" style="118" customWidth="1"/>
    <col min="7431" max="7431" width="18.140625" style="118" customWidth="1"/>
    <col min="7432" max="7432" width="14" style="118" customWidth="1"/>
    <col min="7433" max="7433" width="17.140625" style="118" customWidth="1"/>
    <col min="7434" max="7438" width="10.85546875" style="118" customWidth="1"/>
    <col min="7439" max="7680" width="9.140625" style="118"/>
    <col min="7681" max="7681" width="9.42578125" style="118" customWidth="1"/>
    <col min="7682" max="7682" width="16.5703125" style="118" customWidth="1"/>
    <col min="7683" max="7683" width="17.42578125" style="118" customWidth="1"/>
    <col min="7684" max="7684" width="16.5703125" style="118" customWidth="1"/>
    <col min="7685" max="7685" width="9.85546875" style="118" customWidth="1"/>
    <col min="7686" max="7686" width="42.42578125" style="118" customWidth="1"/>
    <col min="7687" max="7687" width="18.140625" style="118" customWidth="1"/>
    <col min="7688" max="7688" width="14" style="118" customWidth="1"/>
    <col min="7689" max="7689" width="17.140625" style="118" customWidth="1"/>
    <col min="7690" max="7694" width="10.85546875" style="118" customWidth="1"/>
    <col min="7695" max="7936" width="9.140625" style="118"/>
    <col min="7937" max="7937" width="9.42578125" style="118" customWidth="1"/>
    <col min="7938" max="7938" width="16.5703125" style="118" customWidth="1"/>
    <col min="7939" max="7939" width="17.42578125" style="118" customWidth="1"/>
    <col min="7940" max="7940" width="16.5703125" style="118" customWidth="1"/>
    <col min="7941" max="7941" width="9.85546875" style="118" customWidth="1"/>
    <col min="7942" max="7942" width="42.42578125" style="118" customWidth="1"/>
    <col min="7943" max="7943" width="18.140625" style="118" customWidth="1"/>
    <col min="7944" max="7944" width="14" style="118" customWidth="1"/>
    <col min="7945" max="7945" width="17.140625" style="118" customWidth="1"/>
    <col min="7946" max="7950" width="10.85546875" style="118" customWidth="1"/>
    <col min="7951" max="8192" width="9.140625" style="118"/>
    <col min="8193" max="8193" width="9.42578125" style="118" customWidth="1"/>
    <col min="8194" max="8194" width="16.5703125" style="118" customWidth="1"/>
    <col min="8195" max="8195" width="17.42578125" style="118" customWidth="1"/>
    <col min="8196" max="8196" width="16.5703125" style="118" customWidth="1"/>
    <col min="8197" max="8197" width="9.85546875" style="118" customWidth="1"/>
    <col min="8198" max="8198" width="42.42578125" style="118" customWidth="1"/>
    <col min="8199" max="8199" width="18.140625" style="118" customWidth="1"/>
    <col min="8200" max="8200" width="14" style="118" customWidth="1"/>
    <col min="8201" max="8201" width="17.140625" style="118" customWidth="1"/>
    <col min="8202" max="8206" width="10.85546875" style="118" customWidth="1"/>
    <col min="8207" max="8448" width="9.140625" style="118"/>
    <col min="8449" max="8449" width="9.42578125" style="118" customWidth="1"/>
    <col min="8450" max="8450" width="16.5703125" style="118" customWidth="1"/>
    <col min="8451" max="8451" width="17.42578125" style="118" customWidth="1"/>
    <col min="8452" max="8452" width="16.5703125" style="118" customWidth="1"/>
    <col min="8453" max="8453" width="9.85546875" style="118" customWidth="1"/>
    <col min="8454" max="8454" width="42.42578125" style="118" customWidth="1"/>
    <col min="8455" max="8455" width="18.140625" style="118" customWidth="1"/>
    <col min="8456" max="8456" width="14" style="118" customWidth="1"/>
    <col min="8457" max="8457" width="17.140625" style="118" customWidth="1"/>
    <col min="8458" max="8462" width="10.85546875" style="118" customWidth="1"/>
    <col min="8463" max="8704" width="9.140625" style="118"/>
    <col min="8705" max="8705" width="9.42578125" style="118" customWidth="1"/>
    <col min="8706" max="8706" width="16.5703125" style="118" customWidth="1"/>
    <col min="8707" max="8707" width="17.42578125" style="118" customWidth="1"/>
    <col min="8708" max="8708" width="16.5703125" style="118" customWidth="1"/>
    <col min="8709" max="8709" width="9.85546875" style="118" customWidth="1"/>
    <col min="8710" max="8710" width="42.42578125" style="118" customWidth="1"/>
    <col min="8711" max="8711" width="18.140625" style="118" customWidth="1"/>
    <col min="8712" max="8712" width="14" style="118" customWidth="1"/>
    <col min="8713" max="8713" width="17.140625" style="118" customWidth="1"/>
    <col min="8714" max="8718" width="10.85546875" style="118" customWidth="1"/>
    <col min="8719" max="8960" width="9.140625" style="118"/>
    <col min="8961" max="8961" width="9.42578125" style="118" customWidth="1"/>
    <col min="8962" max="8962" width="16.5703125" style="118" customWidth="1"/>
    <col min="8963" max="8963" width="17.42578125" style="118" customWidth="1"/>
    <col min="8964" max="8964" width="16.5703125" style="118" customWidth="1"/>
    <col min="8965" max="8965" width="9.85546875" style="118" customWidth="1"/>
    <col min="8966" max="8966" width="42.42578125" style="118" customWidth="1"/>
    <col min="8967" max="8967" width="18.140625" style="118" customWidth="1"/>
    <col min="8968" max="8968" width="14" style="118" customWidth="1"/>
    <col min="8969" max="8969" width="17.140625" style="118" customWidth="1"/>
    <col min="8970" max="8974" width="10.85546875" style="118" customWidth="1"/>
    <col min="8975" max="9216" width="9.140625" style="118"/>
    <col min="9217" max="9217" width="9.42578125" style="118" customWidth="1"/>
    <col min="9218" max="9218" width="16.5703125" style="118" customWidth="1"/>
    <col min="9219" max="9219" width="17.42578125" style="118" customWidth="1"/>
    <col min="9220" max="9220" width="16.5703125" style="118" customWidth="1"/>
    <col min="9221" max="9221" width="9.85546875" style="118" customWidth="1"/>
    <col min="9222" max="9222" width="42.42578125" style="118" customWidth="1"/>
    <col min="9223" max="9223" width="18.140625" style="118" customWidth="1"/>
    <col min="9224" max="9224" width="14" style="118" customWidth="1"/>
    <col min="9225" max="9225" width="17.140625" style="118" customWidth="1"/>
    <col min="9226" max="9230" width="10.85546875" style="118" customWidth="1"/>
    <col min="9231" max="9472" width="9.140625" style="118"/>
    <col min="9473" max="9473" width="9.42578125" style="118" customWidth="1"/>
    <col min="9474" max="9474" width="16.5703125" style="118" customWidth="1"/>
    <col min="9475" max="9475" width="17.42578125" style="118" customWidth="1"/>
    <col min="9476" max="9476" width="16.5703125" style="118" customWidth="1"/>
    <col min="9477" max="9477" width="9.85546875" style="118" customWidth="1"/>
    <col min="9478" max="9478" width="42.42578125" style="118" customWidth="1"/>
    <col min="9479" max="9479" width="18.140625" style="118" customWidth="1"/>
    <col min="9480" max="9480" width="14" style="118" customWidth="1"/>
    <col min="9481" max="9481" width="17.140625" style="118" customWidth="1"/>
    <col min="9482" max="9486" width="10.85546875" style="118" customWidth="1"/>
    <col min="9487" max="9728" width="9.140625" style="118"/>
    <col min="9729" max="9729" width="9.42578125" style="118" customWidth="1"/>
    <col min="9730" max="9730" width="16.5703125" style="118" customWidth="1"/>
    <col min="9731" max="9731" width="17.42578125" style="118" customWidth="1"/>
    <col min="9732" max="9732" width="16.5703125" style="118" customWidth="1"/>
    <col min="9733" max="9733" width="9.85546875" style="118" customWidth="1"/>
    <col min="9734" max="9734" width="42.42578125" style="118" customWidth="1"/>
    <col min="9735" max="9735" width="18.140625" style="118" customWidth="1"/>
    <col min="9736" max="9736" width="14" style="118" customWidth="1"/>
    <col min="9737" max="9737" width="17.140625" style="118" customWidth="1"/>
    <col min="9738" max="9742" width="10.85546875" style="118" customWidth="1"/>
    <col min="9743" max="9984" width="9.140625" style="118"/>
    <col min="9985" max="9985" width="9.42578125" style="118" customWidth="1"/>
    <col min="9986" max="9986" width="16.5703125" style="118" customWidth="1"/>
    <col min="9987" max="9987" width="17.42578125" style="118" customWidth="1"/>
    <col min="9988" max="9988" width="16.5703125" style="118" customWidth="1"/>
    <col min="9989" max="9989" width="9.85546875" style="118" customWidth="1"/>
    <col min="9990" max="9990" width="42.42578125" style="118" customWidth="1"/>
    <col min="9991" max="9991" width="18.140625" style="118" customWidth="1"/>
    <col min="9992" max="9992" width="14" style="118" customWidth="1"/>
    <col min="9993" max="9993" width="17.140625" style="118" customWidth="1"/>
    <col min="9994" max="9998" width="10.85546875" style="118" customWidth="1"/>
    <col min="9999" max="10240" width="9.140625" style="118"/>
    <col min="10241" max="10241" width="9.42578125" style="118" customWidth="1"/>
    <col min="10242" max="10242" width="16.5703125" style="118" customWidth="1"/>
    <col min="10243" max="10243" width="17.42578125" style="118" customWidth="1"/>
    <col min="10244" max="10244" width="16.5703125" style="118" customWidth="1"/>
    <col min="10245" max="10245" width="9.85546875" style="118" customWidth="1"/>
    <col min="10246" max="10246" width="42.42578125" style="118" customWidth="1"/>
    <col min="10247" max="10247" width="18.140625" style="118" customWidth="1"/>
    <col min="10248" max="10248" width="14" style="118" customWidth="1"/>
    <col min="10249" max="10249" width="17.140625" style="118" customWidth="1"/>
    <col min="10250" max="10254" width="10.85546875" style="118" customWidth="1"/>
    <col min="10255" max="10496" width="9.140625" style="118"/>
    <col min="10497" max="10497" width="9.42578125" style="118" customWidth="1"/>
    <col min="10498" max="10498" width="16.5703125" style="118" customWidth="1"/>
    <col min="10499" max="10499" width="17.42578125" style="118" customWidth="1"/>
    <col min="10500" max="10500" width="16.5703125" style="118" customWidth="1"/>
    <col min="10501" max="10501" width="9.85546875" style="118" customWidth="1"/>
    <col min="10502" max="10502" width="42.42578125" style="118" customWidth="1"/>
    <col min="10503" max="10503" width="18.140625" style="118" customWidth="1"/>
    <col min="10504" max="10504" width="14" style="118" customWidth="1"/>
    <col min="10505" max="10505" width="17.140625" style="118" customWidth="1"/>
    <col min="10506" max="10510" width="10.85546875" style="118" customWidth="1"/>
    <col min="10511" max="10752" width="9.140625" style="118"/>
    <col min="10753" max="10753" width="9.42578125" style="118" customWidth="1"/>
    <col min="10754" max="10754" width="16.5703125" style="118" customWidth="1"/>
    <col min="10755" max="10755" width="17.42578125" style="118" customWidth="1"/>
    <col min="10756" max="10756" width="16.5703125" style="118" customWidth="1"/>
    <col min="10757" max="10757" width="9.85546875" style="118" customWidth="1"/>
    <col min="10758" max="10758" width="42.42578125" style="118" customWidth="1"/>
    <col min="10759" max="10759" width="18.140625" style="118" customWidth="1"/>
    <col min="10760" max="10760" width="14" style="118" customWidth="1"/>
    <col min="10761" max="10761" width="17.140625" style="118" customWidth="1"/>
    <col min="10762" max="10766" width="10.85546875" style="118" customWidth="1"/>
    <col min="10767" max="11008" width="9.140625" style="118"/>
    <col min="11009" max="11009" width="9.42578125" style="118" customWidth="1"/>
    <col min="11010" max="11010" width="16.5703125" style="118" customWidth="1"/>
    <col min="11011" max="11011" width="17.42578125" style="118" customWidth="1"/>
    <col min="11012" max="11012" width="16.5703125" style="118" customWidth="1"/>
    <col min="11013" max="11013" width="9.85546875" style="118" customWidth="1"/>
    <col min="11014" max="11014" width="42.42578125" style="118" customWidth="1"/>
    <col min="11015" max="11015" width="18.140625" style="118" customWidth="1"/>
    <col min="11016" max="11016" width="14" style="118" customWidth="1"/>
    <col min="11017" max="11017" width="17.140625" style="118" customWidth="1"/>
    <col min="11018" max="11022" width="10.85546875" style="118" customWidth="1"/>
    <col min="11023" max="11264" width="9.140625" style="118"/>
    <col min="11265" max="11265" width="9.42578125" style="118" customWidth="1"/>
    <col min="11266" max="11266" width="16.5703125" style="118" customWidth="1"/>
    <col min="11267" max="11267" width="17.42578125" style="118" customWidth="1"/>
    <col min="11268" max="11268" width="16.5703125" style="118" customWidth="1"/>
    <col min="11269" max="11269" width="9.85546875" style="118" customWidth="1"/>
    <col min="11270" max="11270" width="42.42578125" style="118" customWidth="1"/>
    <col min="11271" max="11271" width="18.140625" style="118" customWidth="1"/>
    <col min="11272" max="11272" width="14" style="118" customWidth="1"/>
    <col min="11273" max="11273" width="17.140625" style="118" customWidth="1"/>
    <col min="11274" max="11278" width="10.85546875" style="118" customWidth="1"/>
    <col min="11279" max="11520" width="9.140625" style="118"/>
    <col min="11521" max="11521" width="9.42578125" style="118" customWidth="1"/>
    <col min="11522" max="11522" width="16.5703125" style="118" customWidth="1"/>
    <col min="11523" max="11523" width="17.42578125" style="118" customWidth="1"/>
    <col min="11524" max="11524" width="16.5703125" style="118" customWidth="1"/>
    <col min="11525" max="11525" width="9.85546875" style="118" customWidth="1"/>
    <col min="11526" max="11526" width="42.42578125" style="118" customWidth="1"/>
    <col min="11527" max="11527" width="18.140625" style="118" customWidth="1"/>
    <col min="11528" max="11528" width="14" style="118" customWidth="1"/>
    <col min="11529" max="11529" width="17.140625" style="118" customWidth="1"/>
    <col min="11530" max="11534" width="10.85546875" style="118" customWidth="1"/>
    <col min="11535" max="11776" width="9.140625" style="118"/>
    <col min="11777" max="11777" width="9.42578125" style="118" customWidth="1"/>
    <col min="11778" max="11778" width="16.5703125" style="118" customWidth="1"/>
    <col min="11779" max="11779" width="17.42578125" style="118" customWidth="1"/>
    <col min="11780" max="11780" width="16.5703125" style="118" customWidth="1"/>
    <col min="11781" max="11781" width="9.85546875" style="118" customWidth="1"/>
    <col min="11782" max="11782" width="42.42578125" style="118" customWidth="1"/>
    <col min="11783" max="11783" width="18.140625" style="118" customWidth="1"/>
    <col min="11784" max="11784" width="14" style="118" customWidth="1"/>
    <col min="11785" max="11785" width="17.140625" style="118" customWidth="1"/>
    <col min="11786" max="11790" width="10.85546875" style="118" customWidth="1"/>
    <col min="11791" max="12032" width="9.140625" style="118"/>
    <col min="12033" max="12033" width="9.42578125" style="118" customWidth="1"/>
    <col min="12034" max="12034" width="16.5703125" style="118" customWidth="1"/>
    <col min="12035" max="12035" width="17.42578125" style="118" customWidth="1"/>
    <col min="12036" max="12036" width="16.5703125" style="118" customWidth="1"/>
    <col min="12037" max="12037" width="9.85546875" style="118" customWidth="1"/>
    <col min="12038" max="12038" width="42.42578125" style="118" customWidth="1"/>
    <col min="12039" max="12039" width="18.140625" style="118" customWidth="1"/>
    <col min="12040" max="12040" width="14" style="118" customWidth="1"/>
    <col min="12041" max="12041" width="17.140625" style="118" customWidth="1"/>
    <col min="12042" max="12046" width="10.85546875" style="118" customWidth="1"/>
    <col min="12047" max="12288" width="9.140625" style="118"/>
    <col min="12289" max="12289" width="9.42578125" style="118" customWidth="1"/>
    <col min="12290" max="12290" width="16.5703125" style="118" customWidth="1"/>
    <col min="12291" max="12291" width="17.42578125" style="118" customWidth="1"/>
    <col min="12292" max="12292" width="16.5703125" style="118" customWidth="1"/>
    <col min="12293" max="12293" width="9.85546875" style="118" customWidth="1"/>
    <col min="12294" max="12294" width="42.42578125" style="118" customWidth="1"/>
    <col min="12295" max="12295" width="18.140625" style="118" customWidth="1"/>
    <col min="12296" max="12296" width="14" style="118" customWidth="1"/>
    <col min="12297" max="12297" width="17.140625" style="118" customWidth="1"/>
    <col min="12298" max="12302" width="10.85546875" style="118" customWidth="1"/>
    <col min="12303" max="12544" width="9.140625" style="118"/>
    <col min="12545" max="12545" width="9.42578125" style="118" customWidth="1"/>
    <col min="12546" max="12546" width="16.5703125" style="118" customWidth="1"/>
    <col min="12547" max="12547" width="17.42578125" style="118" customWidth="1"/>
    <col min="12548" max="12548" width="16.5703125" style="118" customWidth="1"/>
    <col min="12549" max="12549" width="9.85546875" style="118" customWidth="1"/>
    <col min="12550" max="12550" width="42.42578125" style="118" customWidth="1"/>
    <col min="12551" max="12551" width="18.140625" style="118" customWidth="1"/>
    <col min="12552" max="12552" width="14" style="118" customWidth="1"/>
    <col min="12553" max="12553" width="17.140625" style="118" customWidth="1"/>
    <col min="12554" max="12558" width="10.85546875" style="118" customWidth="1"/>
    <col min="12559" max="12800" width="9.140625" style="118"/>
    <col min="12801" max="12801" width="9.42578125" style="118" customWidth="1"/>
    <col min="12802" max="12802" width="16.5703125" style="118" customWidth="1"/>
    <col min="12803" max="12803" width="17.42578125" style="118" customWidth="1"/>
    <col min="12804" max="12804" width="16.5703125" style="118" customWidth="1"/>
    <col min="12805" max="12805" width="9.85546875" style="118" customWidth="1"/>
    <col min="12806" max="12806" width="42.42578125" style="118" customWidth="1"/>
    <col min="12807" max="12807" width="18.140625" style="118" customWidth="1"/>
    <col min="12808" max="12808" width="14" style="118" customWidth="1"/>
    <col min="12809" max="12809" width="17.140625" style="118" customWidth="1"/>
    <col min="12810" max="12814" width="10.85546875" style="118" customWidth="1"/>
    <col min="12815" max="13056" width="9.140625" style="118"/>
    <col min="13057" max="13057" width="9.42578125" style="118" customWidth="1"/>
    <col min="13058" max="13058" width="16.5703125" style="118" customWidth="1"/>
    <col min="13059" max="13059" width="17.42578125" style="118" customWidth="1"/>
    <col min="13060" max="13060" width="16.5703125" style="118" customWidth="1"/>
    <col min="13061" max="13061" width="9.85546875" style="118" customWidth="1"/>
    <col min="13062" max="13062" width="42.42578125" style="118" customWidth="1"/>
    <col min="13063" max="13063" width="18.140625" style="118" customWidth="1"/>
    <col min="13064" max="13064" width="14" style="118" customWidth="1"/>
    <col min="13065" max="13065" width="17.140625" style="118" customWidth="1"/>
    <col min="13066" max="13070" width="10.85546875" style="118" customWidth="1"/>
    <col min="13071" max="13312" width="9.140625" style="118"/>
    <col min="13313" max="13313" width="9.42578125" style="118" customWidth="1"/>
    <col min="13314" max="13314" width="16.5703125" style="118" customWidth="1"/>
    <col min="13315" max="13315" width="17.42578125" style="118" customWidth="1"/>
    <col min="13316" max="13316" width="16.5703125" style="118" customWidth="1"/>
    <col min="13317" max="13317" width="9.85546875" style="118" customWidth="1"/>
    <col min="13318" max="13318" width="42.42578125" style="118" customWidth="1"/>
    <col min="13319" max="13319" width="18.140625" style="118" customWidth="1"/>
    <col min="13320" max="13320" width="14" style="118" customWidth="1"/>
    <col min="13321" max="13321" width="17.140625" style="118" customWidth="1"/>
    <col min="13322" max="13326" width="10.85546875" style="118" customWidth="1"/>
    <col min="13327" max="13568" width="9.140625" style="118"/>
    <col min="13569" max="13569" width="9.42578125" style="118" customWidth="1"/>
    <col min="13570" max="13570" width="16.5703125" style="118" customWidth="1"/>
    <col min="13571" max="13571" width="17.42578125" style="118" customWidth="1"/>
    <col min="13572" max="13572" width="16.5703125" style="118" customWidth="1"/>
    <col min="13573" max="13573" width="9.85546875" style="118" customWidth="1"/>
    <col min="13574" max="13574" width="42.42578125" style="118" customWidth="1"/>
    <col min="13575" max="13575" width="18.140625" style="118" customWidth="1"/>
    <col min="13576" max="13576" width="14" style="118" customWidth="1"/>
    <col min="13577" max="13577" width="17.140625" style="118" customWidth="1"/>
    <col min="13578" max="13582" width="10.85546875" style="118" customWidth="1"/>
    <col min="13583" max="13824" width="9.140625" style="118"/>
    <col min="13825" max="13825" width="9.42578125" style="118" customWidth="1"/>
    <col min="13826" max="13826" width="16.5703125" style="118" customWidth="1"/>
    <col min="13827" max="13827" width="17.42578125" style="118" customWidth="1"/>
    <col min="13828" max="13828" width="16.5703125" style="118" customWidth="1"/>
    <col min="13829" max="13829" width="9.85546875" style="118" customWidth="1"/>
    <col min="13830" max="13830" width="42.42578125" style="118" customWidth="1"/>
    <col min="13831" max="13831" width="18.140625" style="118" customWidth="1"/>
    <col min="13832" max="13832" width="14" style="118" customWidth="1"/>
    <col min="13833" max="13833" width="17.140625" style="118" customWidth="1"/>
    <col min="13834" max="13838" width="10.85546875" style="118" customWidth="1"/>
    <col min="13839" max="14080" width="9.140625" style="118"/>
    <col min="14081" max="14081" width="9.42578125" style="118" customWidth="1"/>
    <col min="14082" max="14082" width="16.5703125" style="118" customWidth="1"/>
    <col min="14083" max="14083" width="17.42578125" style="118" customWidth="1"/>
    <col min="14084" max="14084" width="16.5703125" style="118" customWidth="1"/>
    <col min="14085" max="14085" width="9.85546875" style="118" customWidth="1"/>
    <col min="14086" max="14086" width="42.42578125" style="118" customWidth="1"/>
    <col min="14087" max="14087" width="18.140625" style="118" customWidth="1"/>
    <col min="14088" max="14088" width="14" style="118" customWidth="1"/>
    <col min="14089" max="14089" width="17.140625" style="118" customWidth="1"/>
    <col min="14090" max="14094" width="10.85546875" style="118" customWidth="1"/>
    <col min="14095" max="14336" width="9.140625" style="118"/>
    <col min="14337" max="14337" width="9.42578125" style="118" customWidth="1"/>
    <col min="14338" max="14338" width="16.5703125" style="118" customWidth="1"/>
    <col min="14339" max="14339" width="17.42578125" style="118" customWidth="1"/>
    <col min="14340" max="14340" width="16.5703125" style="118" customWidth="1"/>
    <col min="14341" max="14341" width="9.85546875" style="118" customWidth="1"/>
    <col min="14342" max="14342" width="42.42578125" style="118" customWidth="1"/>
    <col min="14343" max="14343" width="18.140625" style="118" customWidth="1"/>
    <col min="14344" max="14344" width="14" style="118" customWidth="1"/>
    <col min="14345" max="14345" width="17.140625" style="118" customWidth="1"/>
    <col min="14346" max="14350" width="10.85546875" style="118" customWidth="1"/>
    <col min="14351" max="14592" width="9.140625" style="118"/>
    <col min="14593" max="14593" width="9.42578125" style="118" customWidth="1"/>
    <col min="14594" max="14594" width="16.5703125" style="118" customWidth="1"/>
    <col min="14595" max="14595" width="17.42578125" style="118" customWidth="1"/>
    <col min="14596" max="14596" width="16.5703125" style="118" customWidth="1"/>
    <col min="14597" max="14597" width="9.85546875" style="118" customWidth="1"/>
    <col min="14598" max="14598" width="42.42578125" style="118" customWidth="1"/>
    <col min="14599" max="14599" width="18.140625" style="118" customWidth="1"/>
    <col min="14600" max="14600" width="14" style="118" customWidth="1"/>
    <col min="14601" max="14601" width="17.140625" style="118" customWidth="1"/>
    <col min="14602" max="14606" width="10.85546875" style="118" customWidth="1"/>
    <col min="14607" max="14848" width="9.140625" style="118"/>
    <col min="14849" max="14849" width="9.42578125" style="118" customWidth="1"/>
    <col min="14850" max="14850" width="16.5703125" style="118" customWidth="1"/>
    <col min="14851" max="14851" width="17.42578125" style="118" customWidth="1"/>
    <col min="14852" max="14852" width="16.5703125" style="118" customWidth="1"/>
    <col min="14853" max="14853" width="9.85546875" style="118" customWidth="1"/>
    <col min="14854" max="14854" width="42.42578125" style="118" customWidth="1"/>
    <col min="14855" max="14855" width="18.140625" style="118" customWidth="1"/>
    <col min="14856" max="14856" width="14" style="118" customWidth="1"/>
    <col min="14857" max="14857" width="17.140625" style="118" customWidth="1"/>
    <col min="14858" max="14862" width="10.85546875" style="118" customWidth="1"/>
    <col min="14863" max="15104" width="9.140625" style="118"/>
    <col min="15105" max="15105" width="9.42578125" style="118" customWidth="1"/>
    <col min="15106" max="15106" width="16.5703125" style="118" customWidth="1"/>
    <col min="15107" max="15107" width="17.42578125" style="118" customWidth="1"/>
    <col min="15108" max="15108" width="16.5703125" style="118" customWidth="1"/>
    <col min="15109" max="15109" width="9.85546875" style="118" customWidth="1"/>
    <col min="15110" max="15110" width="42.42578125" style="118" customWidth="1"/>
    <col min="15111" max="15111" width="18.140625" style="118" customWidth="1"/>
    <col min="15112" max="15112" width="14" style="118" customWidth="1"/>
    <col min="15113" max="15113" width="17.140625" style="118" customWidth="1"/>
    <col min="15114" max="15118" width="10.85546875" style="118" customWidth="1"/>
    <col min="15119" max="15360" width="9.140625" style="118"/>
    <col min="15361" max="15361" width="9.42578125" style="118" customWidth="1"/>
    <col min="15362" max="15362" width="16.5703125" style="118" customWidth="1"/>
    <col min="15363" max="15363" width="17.42578125" style="118" customWidth="1"/>
    <col min="15364" max="15364" width="16.5703125" style="118" customWidth="1"/>
    <col min="15365" max="15365" width="9.85546875" style="118" customWidth="1"/>
    <col min="15366" max="15366" width="42.42578125" style="118" customWidth="1"/>
    <col min="15367" max="15367" width="18.140625" style="118" customWidth="1"/>
    <col min="15368" max="15368" width="14" style="118" customWidth="1"/>
    <col min="15369" max="15369" width="17.140625" style="118" customWidth="1"/>
    <col min="15370" max="15374" width="10.85546875" style="118" customWidth="1"/>
    <col min="15375" max="15616" width="9.140625" style="118"/>
    <col min="15617" max="15617" width="9.42578125" style="118" customWidth="1"/>
    <col min="15618" max="15618" width="16.5703125" style="118" customWidth="1"/>
    <col min="15619" max="15619" width="17.42578125" style="118" customWidth="1"/>
    <col min="15620" max="15620" width="16.5703125" style="118" customWidth="1"/>
    <col min="15621" max="15621" width="9.85546875" style="118" customWidth="1"/>
    <col min="15622" max="15622" width="42.42578125" style="118" customWidth="1"/>
    <col min="15623" max="15623" width="18.140625" style="118" customWidth="1"/>
    <col min="15624" max="15624" width="14" style="118" customWidth="1"/>
    <col min="15625" max="15625" width="17.140625" style="118" customWidth="1"/>
    <col min="15626" max="15630" width="10.85546875" style="118" customWidth="1"/>
    <col min="15631" max="15872" width="9.140625" style="118"/>
    <col min="15873" max="15873" width="9.42578125" style="118" customWidth="1"/>
    <col min="15874" max="15874" width="16.5703125" style="118" customWidth="1"/>
    <col min="15875" max="15875" width="17.42578125" style="118" customWidth="1"/>
    <col min="15876" max="15876" width="16.5703125" style="118" customWidth="1"/>
    <col min="15877" max="15877" width="9.85546875" style="118" customWidth="1"/>
    <col min="15878" max="15878" width="42.42578125" style="118" customWidth="1"/>
    <col min="15879" max="15879" width="18.140625" style="118" customWidth="1"/>
    <col min="15880" max="15880" width="14" style="118" customWidth="1"/>
    <col min="15881" max="15881" width="17.140625" style="118" customWidth="1"/>
    <col min="15882" max="15886" width="10.85546875" style="118" customWidth="1"/>
    <col min="15887" max="16128" width="9.140625" style="118"/>
    <col min="16129" max="16129" width="9.42578125" style="118" customWidth="1"/>
    <col min="16130" max="16130" width="16.5703125" style="118" customWidth="1"/>
    <col min="16131" max="16131" width="17.42578125" style="118" customWidth="1"/>
    <col min="16132" max="16132" width="16.5703125" style="118" customWidth="1"/>
    <col min="16133" max="16133" width="9.85546875" style="118" customWidth="1"/>
    <col min="16134" max="16134" width="42.42578125" style="118" customWidth="1"/>
    <col min="16135" max="16135" width="18.140625" style="118" customWidth="1"/>
    <col min="16136" max="16136" width="14" style="118" customWidth="1"/>
    <col min="16137" max="16137" width="17.140625" style="118" customWidth="1"/>
    <col min="16138" max="16142" width="10.85546875" style="118" customWidth="1"/>
    <col min="16143" max="16384" width="9.140625" style="118"/>
  </cols>
  <sheetData>
    <row r="1" spans="1:25" x14ac:dyDescent="0.25">
      <c r="A1" s="117"/>
      <c r="B1" s="117"/>
      <c r="C1" s="118"/>
      <c r="D1" s="119"/>
      <c r="E1" s="442" t="s">
        <v>341</v>
      </c>
      <c r="F1" s="442"/>
      <c r="G1" s="442"/>
      <c r="H1" s="442"/>
      <c r="I1" s="442"/>
      <c r="J1" s="442"/>
      <c r="K1" s="120"/>
    </row>
    <row r="2" spans="1:25" x14ac:dyDescent="0.25">
      <c r="A2" s="121"/>
      <c r="B2" s="121"/>
      <c r="C2" s="118"/>
      <c r="D2" s="442" t="s">
        <v>342</v>
      </c>
      <c r="E2" s="442"/>
      <c r="F2" s="442"/>
      <c r="G2" s="442"/>
      <c r="H2" s="442"/>
      <c r="I2" s="442"/>
      <c r="J2" s="442"/>
      <c r="K2" s="120"/>
    </row>
    <row r="3" spans="1:25" x14ac:dyDescent="0.25">
      <c r="A3" s="122"/>
      <c r="B3" s="122"/>
      <c r="O3" s="118">
        <v>2025</v>
      </c>
      <c r="P3" s="118" t="s">
        <v>343</v>
      </c>
    </row>
    <row r="4" spans="1:25" s="124" customFormat="1" ht="48" customHeight="1" x14ac:dyDescent="0.2">
      <c r="A4" s="443" t="s">
        <v>1</v>
      </c>
      <c r="B4" s="444" t="s">
        <v>344</v>
      </c>
      <c r="C4" s="445" t="s">
        <v>345</v>
      </c>
      <c r="D4" s="445" t="s">
        <v>346</v>
      </c>
      <c r="E4" s="441" t="s">
        <v>347</v>
      </c>
      <c r="F4" s="441" t="s">
        <v>348</v>
      </c>
      <c r="G4" s="441" t="s">
        <v>349</v>
      </c>
      <c r="H4" s="441" t="s">
        <v>350</v>
      </c>
      <c r="I4" s="441" t="s">
        <v>9</v>
      </c>
      <c r="J4" s="441" t="s">
        <v>10</v>
      </c>
      <c r="K4" s="441"/>
      <c r="L4" s="441" t="s">
        <v>11</v>
      </c>
      <c r="M4" s="441" t="s">
        <v>12</v>
      </c>
      <c r="N4" s="441" t="s">
        <v>13</v>
      </c>
    </row>
    <row r="5" spans="1:25" s="124" customFormat="1" ht="36.75" customHeight="1" x14ac:dyDescent="0.2">
      <c r="A5" s="443"/>
      <c r="B5" s="444"/>
      <c r="C5" s="445"/>
      <c r="D5" s="445"/>
      <c r="E5" s="441"/>
      <c r="F5" s="441"/>
      <c r="G5" s="441"/>
      <c r="H5" s="441"/>
      <c r="I5" s="441"/>
      <c r="J5" s="125" t="s">
        <v>14</v>
      </c>
      <c r="K5" s="125" t="s">
        <v>15</v>
      </c>
      <c r="L5" s="441"/>
      <c r="M5" s="441"/>
      <c r="N5" s="441"/>
    </row>
    <row r="6" spans="1:25" s="124" customFormat="1" ht="36" customHeight="1" x14ac:dyDescent="0.2">
      <c r="A6" s="436" t="s">
        <v>351</v>
      </c>
      <c r="B6" s="126"/>
      <c r="C6" s="323">
        <v>2021</v>
      </c>
      <c r="D6" s="323">
        <v>2026</v>
      </c>
      <c r="E6" s="439" t="s">
        <v>352</v>
      </c>
      <c r="F6" s="128" t="s">
        <v>353</v>
      </c>
      <c r="G6" s="129"/>
      <c r="H6" s="130">
        <v>1</v>
      </c>
      <c r="I6" s="130">
        <v>1989</v>
      </c>
      <c r="J6" s="130">
        <v>300</v>
      </c>
      <c r="K6" s="130">
        <f t="shared" ref="K6:K70" si="0">J6/12</f>
        <v>25</v>
      </c>
      <c r="L6" s="131">
        <f t="shared" ref="L6:L70" si="1">J6/12</f>
        <v>25</v>
      </c>
      <c r="M6" s="131">
        <f t="shared" ref="M6:M70" si="2">O$3-I6</f>
        <v>36</v>
      </c>
      <c r="N6" s="132">
        <f t="shared" ref="N6:N70" si="3">M6/K6</f>
        <v>1.44</v>
      </c>
      <c r="Q6" s="124">
        <v>1</v>
      </c>
    </row>
    <row r="7" spans="1:25" s="124" customFormat="1" ht="30" customHeight="1" x14ac:dyDescent="0.2">
      <c r="A7" s="436"/>
      <c r="B7" s="126"/>
      <c r="C7" s="127">
        <v>2021</v>
      </c>
      <c r="D7" s="127">
        <v>2026</v>
      </c>
      <c r="E7" s="439"/>
      <c r="F7" s="128" t="s">
        <v>354</v>
      </c>
      <c r="G7" s="133"/>
      <c r="H7" s="133">
        <v>1</v>
      </c>
      <c r="I7" s="133">
        <v>1989</v>
      </c>
      <c r="J7" s="133">
        <v>300</v>
      </c>
      <c r="K7" s="133">
        <f t="shared" si="0"/>
        <v>25</v>
      </c>
      <c r="L7" s="134">
        <f t="shared" si="1"/>
        <v>25</v>
      </c>
      <c r="M7" s="134">
        <f t="shared" si="2"/>
        <v>36</v>
      </c>
      <c r="N7" s="135">
        <f t="shared" si="3"/>
        <v>1.44</v>
      </c>
      <c r="Q7" s="124">
        <f>Q6+1</f>
        <v>2</v>
      </c>
    </row>
    <row r="8" spans="1:25" s="124" customFormat="1" ht="24" customHeight="1" x14ac:dyDescent="0.2">
      <c r="A8" s="436"/>
      <c r="B8" s="126"/>
      <c r="C8" s="127">
        <v>2021</v>
      </c>
      <c r="D8" s="127">
        <v>2026</v>
      </c>
      <c r="E8" s="439"/>
      <c r="F8" s="136" t="s">
        <v>355</v>
      </c>
      <c r="G8" s="133"/>
      <c r="H8" s="133">
        <v>4</v>
      </c>
      <c r="I8" s="133">
        <v>1989</v>
      </c>
      <c r="J8" s="133">
        <v>300</v>
      </c>
      <c r="K8" s="133">
        <f t="shared" si="0"/>
        <v>25</v>
      </c>
      <c r="L8" s="134">
        <f t="shared" si="1"/>
        <v>25</v>
      </c>
      <c r="M8" s="134">
        <f t="shared" si="2"/>
        <v>36</v>
      </c>
      <c r="N8" s="135">
        <f t="shared" si="3"/>
        <v>1.44</v>
      </c>
      <c r="Q8" s="124">
        <f t="shared" ref="Q8:Q72" si="4">Q7+1</f>
        <v>3</v>
      </c>
    </row>
    <row r="9" spans="1:25" s="124" customFormat="1" ht="24" customHeight="1" x14ac:dyDescent="0.2">
      <c r="A9" s="436"/>
      <c r="B9" s="126"/>
      <c r="C9" s="127">
        <v>2021</v>
      </c>
      <c r="D9" s="127">
        <v>2026</v>
      </c>
      <c r="E9" s="439"/>
      <c r="F9" s="128" t="s">
        <v>356</v>
      </c>
      <c r="G9" s="133"/>
      <c r="H9" s="133">
        <v>4</v>
      </c>
      <c r="I9" s="133">
        <v>1989</v>
      </c>
      <c r="J9" s="133">
        <v>300</v>
      </c>
      <c r="K9" s="133">
        <f t="shared" si="0"/>
        <v>25</v>
      </c>
      <c r="L9" s="134">
        <f t="shared" si="1"/>
        <v>25</v>
      </c>
      <c r="M9" s="134">
        <f t="shared" si="2"/>
        <v>36</v>
      </c>
      <c r="N9" s="135">
        <f t="shared" si="3"/>
        <v>1.44</v>
      </c>
      <c r="Q9" s="124">
        <f t="shared" si="4"/>
        <v>4</v>
      </c>
    </row>
    <row r="10" spans="1:25" s="124" customFormat="1" ht="40.5" customHeight="1" thickBot="1" x14ac:dyDescent="0.25">
      <c r="A10" s="437"/>
      <c r="B10" s="126"/>
      <c r="C10" s="138">
        <v>2021</v>
      </c>
      <c r="D10" s="138">
        <v>2026</v>
      </c>
      <c r="E10" s="440"/>
      <c r="F10" s="139" t="s">
        <v>357</v>
      </c>
      <c r="G10" s="140"/>
      <c r="H10" s="140">
        <v>2</v>
      </c>
      <c r="I10" s="133">
        <v>1989</v>
      </c>
      <c r="J10" s="140">
        <v>300</v>
      </c>
      <c r="K10" s="140">
        <f t="shared" si="0"/>
        <v>25</v>
      </c>
      <c r="L10" s="141">
        <f t="shared" si="1"/>
        <v>25</v>
      </c>
      <c r="M10" s="141">
        <f t="shared" si="2"/>
        <v>36</v>
      </c>
      <c r="N10" s="142">
        <f t="shared" si="3"/>
        <v>1.44</v>
      </c>
      <c r="Q10" s="124">
        <f t="shared" si="4"/>
        <v>5</v>
      </c>
    </row>
    <row r="11" spans="1:25" s="124" customFormat="1" ht="33" customHeight="1" x14ac:dyDescent="0.2">
      <c r="A11" s="435" t="s">
        <v>358</v>
      </c>
      <c r="B11" s="143"/>
      <c r="C11" s="350">
        <v>2021</v>
      </c>
      <c r="D11" s="350">
        <v>2026</v>
      </c>
      <c r="E11" s="438" t="s">
        <v>359</v>
      </c>
      <c r="F11" s="144" t="s">
        <v>360</v>
      </c>
      <c r="G11" s="145"/>
      <c r="H11" s="146">
        <v>1</v>
      </c>
      <c r="I11" s="146">
        <v>1968</v>
      </c>
      <c r="J11" s="146">
        <v>300</v>
      </c>
      <c r="K11" s="146">
        <f t="shared" si="0"/>
        <v>25</v>
      </c>
      <c r="L11" s="147">
        <f t="shared" si="1"/>
        <v>25</v>
      </c>
      <c r="M11" s="147">
        <f t="shared" si="2"/>
        <v>57</v>
      </c>
      <c r="N11" s="148">
        <f t="shared" si="3"/>
        <v>2.2799999999999998</v>
      </c>
      <c r="Q11" s="124">
        <f t="shared" si="4"/>
        <v>6</v>
      </c>
      <c r="T11" s="124" t="s">
        <v>667</v>
      </c>
    </row>
    <row r="12" spans="1:25" s="124" customFormat="1" ht="38.25" customHeight="1" thickBot="1" x14ac:dyDescent="0.25">
      <c r="A12" s="437"/>
      <c r="B12" s="137"/>
      <c r="C12" s="138">
        <v>2021</v>
      </c>
      <c r="D12" s="138">
        <v>2026</v>
      </c>
      <c r="E12" s="440"/>
      <c r="F12" s="139" t="s">
        <v>361</v>
      </c>
      <c r="G12" s="140"/>
      <c r="H12" s="140">
        <v>1</v>
      </c>
      <c r="I12" s="149">
        <v>1968</v>
      </c>
      <c r="J12" s="140">
        <v>300</v>
      </c>
      <c r="K12" s="140">
        <f t="shared" si="0"/>
        <v>25</v>
      </c>
      <c r="L12" s="141">
        <f t="shared" si="1"/>
        <v>25</v>
      </c>
      <c r="M12" s="141">
        <f t="shared" si="2"/>
        <v>57</v>
      </c>
      <c r="N12" s="142">
        <f t="shared" si="3"/>
        <v>2.2799999999999998</v>
      </c>
      <c r="Q12" s="124">
        <f t="shared" si="4"/>
        <v>7</v>
      </c>
    </row>
    <row r="13" spans="1:25" s="150" customFormat="1" ht="28.5" customHeight="1" x14ac:dyDescent="0.25">
      <c r="A13" s="435" t="s">
        <v>362</v>
      </c>
      <c r="B13" s="321" t="s">
        <v>689</v>
      </c>
      <c r="C13" s="322">
        <v>2024</v>
      </c>
      <c r="D13" s="350">
        <f>C13+3</f>
        <v>2027</v>
      </c>
      <c r="E13" s="438" t="s">
        <v>364</v>
      </c>
      <c r="F13" s="144" t="s">
        <v>365</v>
      </c>
      <c r="G13" s="145" t="s">
        <v>366</v>
      </c>
      <c r="H13" s="146">
        <v>1</v>
      </c>
      <c r="I13" s="146">
        <v>2015</v>
      </c>
      <c r="J13" s="146">
        <v>300</v>
      </c>
      <c r="K13" s="146">
        <f t="shared" si="0"/>
        <v>25</v>
      </c>
      <c r="L13" s="147">
        <f t="shared" si="1"/>
        <v>25</v>
      </c>
      <c r="M13" s="147">
        <f t="shared" si="2"/>
        <v>10</v>
      </c>
      <c r="N13" s="148">
        <f t="shared" si="3"/>
        <v>0.4</v>
      </c>
      <c r="P13" s="151"/>
      <c r="Q13" s="124">
        <f t="shared" si="4"/>
        <v>8</v>
      </c>
      <c r="R13" s="151"/>
      <c r="S13" s="151"/>
      <c r="T13" s="151"/>
      <c r="U13" s="151"/>
      <c r="V13" s="151"/>
      <c r="W13" s="151"/>
      <c r="X13" s="151"/>
      <c r="Y13" s="151"/>
    </row>
    <row r="14" spans="1:25" s="150" customFormat="1" ht="32.25" customHeight="1" x14ac:dyDescent="0.25">
      <c r="A14" s="436"/>
      <c r="B14" s="324" t="s">
        <v>689</v>
      </c>
      <c r="C14" s="323">
        <v>2024</v>
      </c>
      <c r="D14" s="323">
        <f>C14+3</f>
        <v>2027</v>
      </c>
      <c r="E14" s="439"/>
      <c r="F14" s="136" t="s">
        <v>368</v>
      </c>
      <c r="G14" s="133" t="s">
        <v>369</v>
      </c>
      <c r="H14" s="133">
        <v>2</v>
      </c>
      <c r="I14" s="133">
        <v>1965</v>
      </c>
      <c r="J14" s="133">
        <v>300</v>
      </c>
      <c r="K14" s="133">
        <f t="shared" si="0"/>
        <v>25</v>
      </c>
      <c r="L14" s="134">
        <f t="shared" si="1"/>
        <v>25</v>
      </c>
      <c r="M14" s="134">
        <f>O$3-I14</f>
        <v>60</v>
      </c>
      <c r="N14" s="135">
        <f t="shared" si="3"/>
        <v>2.4</v>
      </c>
      <c r="P14" s="151"/>
      <c r="Q14" s="124">
        <f t="shared" si="4"/>
        <v>9</v>
      </c>
      <c r="R14" s="151"/>
      <c r="S14" s="151"/>
      <c r="T14" s="151"/>
      <c r="U14" s="151"/>
      <c r="V14" s="151"/>
      <c r="W14" s="151"/>
      <c r="X14" s="151"/>
      <c r="Y14" s="151"/>
    </row>
    <row r="15" spans="1:25" s="150" customFormat="1" ht="32.25" customHeight="1" thickBot="1" x14ac:dyDescent="0.3">
      <c r="A15" s="437"/>
      <c r="B15" s="325" t="s">
        <v>689</v>
      </c>
      <c r="C15" s="326">
        <v>2024</v>
      </c>
      <c r="D15" s="326">
        <f>C15+3</f>
        <v>2027</v>
      </c>
      <c r="E15" s="440"/>
      <c r="F15" s="152" t="s">
        <v>370</v>
      </c>
      <c r="G15" s="140" t="s">
        <v>371</v>
      </c>
      <c r="H15" s="140">
        <v>2</v>
      </c>
      <c r="I15" s="140">
        <v>1965</v>
      </c>
      <c r="J15" s="140">
        <v>300</v>
      </c>
      <c r="K15" s="140">
        <f t="shared" si="0"/>
        <v>25</v>
      </c>
      <c r="L15" s="141">
        <f t="shared" si="1"/>
        <v>25</v>
      </c>
      <c r="M15" s="141">
        <f t="shared" si="2"/>
        <v>60</v>
      </c>
      <c r="N15" s="142">
        <f t="shared" si="3"/>
        <v>2.4</v>
      </c>
      <c r="P15" s="151"/>
      <c r="Q15" s="124">
        <f t="shared" si="4"/>
        <v>10</v>
      </c>
      <c r="R15" s="151"/>
      <c r="S15" s="151"/>
      <c r="T15" s="151"/>
      <c r="U15" s="151"/>
      <c r="V15" s="151"/>
      <c r="W15" s="151"/>
      <c r="X15" s="151"/>
      <c r="Y15" s="151"/>
    </row>
    <row r="16" spans="1:25" s="150" customFormat="1" ht="24" customHeight="1" x14ac:dyDescent="0.25">
      <c r="A16" s="435" t="s">
        <v>372</v>
      </c>
      <c r="B16" s="321" t="s">
        <v>363</v>
      </c>
      <c r="C16" s="322">
        <v>2024</v>
      </c>
      <c r="D16" s="322">
        <f>C16+3</f>
        <v>2027</v>
      </c>
      <c r="E16" s="438" t="s">
        <v>373</v>
      </c>
      <c r="F16" s="144" t="s">
        <v>374</v>
      </c>
      <c r="G16" s="153" t="s">
        <v>375</v>
      </c>
      <c r="H16" s="154">
        <v>1</v>
      </c>
      <c r="I16" s="154">
        <v>2015</v>
      </c>
      <c r="J16" s="154">
        <v>300</v>
      </c>
      <c r="K16" s="154">
        <f t="shared" si="0"/>
        <v>25</v>
      </c>
      <c r="L16" s="155">
        <f t="shared" si="1"/>
        <v>25</v>
      </c>
      <c r="M16" s="155">
        <f t="shared" si="2"/>
        <v>10</v>
      </c>
      <c r="N16" s="156">
        <f t="shared" si="3"/>
        <v>0.4</v>
      </c>
      <c r="P16" s="151"/>
      <c r="Q16" s="124">
        <f t="shared" si="4"/>
        <v>11</v>
      </c>
      <c r="R16" s="151"/>
      <c r="S16" s="151"/>
      <c r="T16" s="151"/>
      <c r="U16" s="151"/>
      <c r="V16" s="151"/>
      <c r="W16" s="151"/>
      <c r="X16" s="151"/>
      <c r="Y16" s="151"/>
    </row>
    <row r="17" spans="1:25" s="150" customFormat="1" ht="26.25" thickBot="1" x14ac:dyDescent="0.3">
      <c r="A17" s="437"/>
      <c r="B17" s="325" t="s">
        <v>363</v>
      </c>
      <c r="C17" s="326">
        <v>2024</v>
      </c>
      <c r="D17" s="326">
        <f>C17+3</f>
        <v>2027</v>
      </c>
      <c r="E17" s="440"/>
      <c r="F17" s="152" t="s">
        <v>376</v>
      </c>
      <c r="G17" s="157"/>
      <c r="H17" s="140">
        <v>3</v>
      </c>
      <c r="I17" s="140">
        <v>1979</v>
      </c>
      <c r="J17" s="140">
        <v>300</v>
      </c>
      <c r="K17" s="140">
        <f t="shared" si="0"/>
        <v>25</v>
      </c>
      <c r="L17" s="141">
        <f t="shared" si="1"/>
        <v>25</v>
      </c>
      <c r="M17" s="141">
        <f t="shared" si="2"/>
        <v>46</v>
      </c>
      <c r="N17" s="142">
        <f>M17/K17</f>
        <v>1.84</v>
      </c>
      <c r="P17" s="151"/>
      <c r="Q17" s="124">
        <f t="shared" si="4"/>
        <v>12</v>
      </c>
      <c r="R17" s="151"/>
      <c r="S17" s="151"/>
      <c r="T17" s="151"/>
      <c r="U17" s="151"/>
      <c r="V17" s="151"/>
      <c r="W17" s="151"/>
      <c r="X17" s="151"/>
      <c r="Y17" s="151"/>
    </row>
    <row r="18" spans="1:25" s="150" customFormat="1" x14ac:dyDescent="0.25">
      <c r="A18" s="435" t="s">
        <v>377</v>
      </c>
      <c r="B18" s="321" t="s">
        <v>689</v>
      </c>
      <c r="C18" s="322">
        <v>2024</v>
      </c>
      <c r="D18" s="322">
        <f>C18+2</f>
        <v>2026</v>
      </c>
      <c r="E18" s="438" t="s">
        <v>378</v>
      </c>
      <c r="F18" s="144" t="s">
        <v>379</v>
      </c>
      <c r="G18" s="153" t="s">
        <v>380</v>
      </c>
      <c r="H18" s="154">
        <v>1</v>
      </c>
      <c r="I18" s="154">
        <v>2016</v>
      </c>
      <c r="J18" s="154">
        <v>300</v>
      </c>
      <c r="K18" s="154">
        <f t="shared" si="0"/>
        <v>25</v>
      </c>
      <c r="L18" s="155">
        <f t="shared" si="1"/>
        <v>25</v>
      </c>
      <c r="M18" s="155">
        <f t="shared" si="2"/>
        <v>9</v>
      </c>
      <c r="N18" s="156">
        <f t="shared" si="3"/>
        <v>0.36</v>
      </c>
      <c r="P18" s="151"/>
      <c r="Q18" s="124">
        <f t="shared" si="4"/>
        <v>13</v>
      </c>
      <c r="R18" s="151"/>
      <c r="S18" s="151"/>
      <c r="T18" s="151"/>
      <c r="U18" s="151"/>
      <c r="V18" s="151"/>
      <c r="W18" s="151"/>
      <c r="X18" s="151"/>
      <c r="Y18" s="151"/>
    </row>
    <row r="19" spans="1:25" s="150" customFormat="1" ht="25.5" x14ac:dyDescent="0.25">
      <c r="A19" s="436"/>
      <c r="B19" s="324" t="s">
        <v>689</v>
      </c>
      <c r="C19" s="323">
        <v>2024</v>
      </c>
      <c r="D19" s="323">
        <f>C19+2</f>
        <v>2026</v>
      </c>
      <c r="E19" s="439"/>
      <c r="F19" s="136" t="s">
        <v>381</v>
      </c>
      <c r="G19" s="158"/>
      <c r="H19" s="133">
        <v>3</v>
      </c>
      <c r="I19" s="133">
        <v>1954</v>
      </c>
      <c r="J19" s="133">
        <v>300</v>
      </c>
      <c r="K19" s="133">
        <f t="shared" si="0"/>
        <v>25</v>
      </c>
      <c r="L19" s="134">
        <f t="shared" si="1"/>
        <v>25</v>
      </c>
      <c r="M19" s="134">
        <f t="shared" si="2"/>
        <v>71</v>
      </c>
      <c r="N19" s="135">
        <f t="shared" si="3"/>
        <v>2.84</v>
      </c>
      <c r="P19" s="151"/>
      <c r="Q19" s="124">
        <f t="shared" si="4"/>
        <v>14</v>
      </c>
      <c r="R19" s="151"/>
      <c r="S19" s="151"/>
      <c r="T19" s="151"/>
      <c r="U19" s="151"/>
      <c r="V19" s="151"/>
      <c r="W19" s="151"/>
      <c r="X19" s="151"/>
      <c r="Y19" s="151"/>
    </row>
    <row r="20" spans="1:25" s="150" customFormat="1" ht="26.25" thickBot="1" x14ac:dyDescent="0.3">
      <c r="A20" s="437"/>
      <c r="B20" s="325" t="s">
        <v>689</v>
      </c>
      <c r="C20" s="326">
        <v>2024</v>
      </c>
      <c r="D20" s="326">
        <f t="shared" ref="D20:D33" si="5">C20+3</f>
        <v>2027</v>
      </c>
      <c r="E20" s="440"/>
      <c r="F20" s="152" t="s">
        <v>382</v>
      </c>
      <c r="G20" s="159"/>
      <c r="H20" s="140">
        <v>1</v>
      </c>
      <c r="I20" s="140">
        <v>1954</v>
      </c>
      <c r="J20" s="140">
        <v>300</v>
      </c>
      <c r="K20" s="140">
        <f t="shared" si="0"/>
        <v>25</v>
      </c>
      <c r="L20" s="141">
        <f t="shared" si="1"/>
        <v>25</v>
      </c>
      <c r="M20" s="141">
        <f>O$3-I20</f>
        <v>71</v>
      </c>
      <c r="N20" s="142">
        <f>M20/K20</f>
        <v>2.84</v>
      </c>
      <c r="P20" s="151"/>
      <c r="Q20" s="124">
        <f t="shared" si="4"/>
        <v>15</v>
      </c>
      <c r="R20" s="151"/>
      <c r="S20" s="151"/>
      <c r="T20" s="151"/>
      <c r="U20" s="151"/>
      <c r="V20" s="151"/>
      <c r="W20" s="151"/>
      <c r="X20" s="151"/>
      <c r="Y20" s="151"/>
    </row>
    <row r="21" spans="1:25" s="150" customFormat="1" ht="24" customHeight="1" x14ac:dyDescent="0.25">
      <c r="A21" s="435" t="s">
        <v>383</v>
      </c>
      <c r="B21" s="321" t="s">
        <v>412</v>
      </c>
      <c r="C21" s="322">
        <v>2024</v>
      </c>
      <c r="D21" s="322">
        <f t="shared" si="5"/>
        <v>2027</v>
      </c>
      <c r="E21" s="438" t="s">
        <v>384</v>
      </c>
      <c r="F21" s="144" t="s">
        <v>385</v>
      </c>
      <c r="G21" s="160">
        <v>4832</v>
      </c>
      <c r="H21" s="154">
        <v>1</v>
      </c>
      <c r="I21" s="154">
        <v>2017</v>
      </c>
      <c r="J21" s="154">
        <v>300</v>
      </c>
      <c r="K21" s="154">
        <f t="shared" si="0"/>
        <v>25</v>
      </c>
      <c r="L21" s="155">
        <f t="shared" si="1"/>
        <v>25</v>
      </c>
      <c r="M21" s="155">
        <f t="shared" si="2"/>
        <v>8</v>
      </c>
      <c r="N21" s="156">
        <f t="shared" si="3"/>
        <v>0.32</v>
      </c>
      <c r="P21" s="161"/>
      <c r="Q21" s="124">
        <f t="shared" si="4"/>
        <v>16</v>
      </c>
      <c r="R21" s="161"/>
      <c r="S21" s="161"/>
      <c r="T21" s="161"/>
      <c r="U21" s="151"/>
      <c r="V21" s="151"/>
      <c r="W21" s="151"/>
      <c r="X21" s="151"/>
      <c r="Y21" s="151"/>
    </row>
    <row r="22" spans="1:25" s="150" customFormat="1" ht="25.5" x14ac:dyDescent="0.25">
      <c r="A22" s="436"/>
      <c r="B22" s="324" t="s">
        <v>412</v>
      </c>
      <c r="C22" s="323">
        <v>2024</v>
      </c>
      <c r="D22" s="323">
        <f t="shared" si="5"/>
        <v>2027</v>
      </c>
      <c r="E22" s="439"/>
      <c r="F22" s="136" t="s">
        <v>386</v>
      </c>
      <c r="G22" s="133" t="s">
        <v>387</v>
      </c>
      <c r="H22" s="133">
        <v>2</v>
      </c>
      <c r="I22" s="133">
        <v>1970</v>
      </c>
      <c r="J22" s="133">
        <v>300</v>
      </c>
      <c r="K22" s="133">
        <f t="shared" si="0"/>
        <v>25</v>
      </c>
      <c r="L22" s="134">
        <f t="shared" si="1"/>
        <v>25</v>
      </c>
      <c r="M22" s="134">
        <f t="shared" si="2"/>
        <v>55</v>
      </c>
      <c r="N22" s="135">
        <f t="shared" si="3"/>
        <v>2.2000000000000002</v>
      </c>
      <c r="P22" s="162"/>
      <c r="Q22" s="124">
        <f t="shared" si="4"/>
        <v>17</v>
      </c>
      <c r="R22" s="162"/>
      <c r="S22" s="162"/>
      <c r="T22" s="162"/>
    </row>
    <row r="23" spans="1:25" s="150" customFormat="1" ht="26.25" thickBot="1" x14ac:dyDescent="0.3">
      <c r="A23" s="437"/>
      <c r="B23" s="325" t="s">
        <v>412</v>
      </c>
      <c r="C23" s="326">
        <v>2024</v>
      </c>
      <c r="D23" s="326">
        <f t="shared" si="5"/>
        <v>2027</v>
      </c>
      <c r="E23" s="440"/>
      <c r="F23" s="152" t="s">
        <v>388</v>
      </c>
      <c r="G23" s="140" t="s">
        <v>389</v>
      </c>
      <c r="H23" s="140">
        <v>1</v>
      </c>
      <c r="I23" s="140">
        <v>1970</v>
      </c>
      <c r="J23" s="140">
        <v>300</v>
      </c>
      <c r="K23" s="140">
        <f t="shared" si="0"/>
        <v>25</v>
      </c>
      <c r="L23" s="141">
        <f t="shared" si="1"/>
        <v>25</v>
      </c>
      <c r="M23" s="141">
        <f t="shared" si="2"/>
        <v>55</v>
      </c>
      <c r="N23" s="142">
        <f t="shared" si="3"/>
        <v>2.2000000000000002</v>
      </c>
      <c r="P23" s="162"/>
      <c r="Q23" s="124">
        <f t="shared" si="4"/>
        <v>18</v>
      </c>
      <c r="R23" s="162"/>
      <c r="S23" s="162"/>
      <c r="T23" s="162"/>
    </row>
    <row r="24" spans="1:25" s="150" customFormat="1" ht="21" customHeight="1" x14ac:dyDescent="0.25">
      <c r="A24" s="435" t="s">
        <v>390</v>
      </c>
      <c r="B24" s="321" t="s">
        <v>412</v>
      </c>
      <c r="C24" s="322">
        <v>2024</v>
      </c>
      <c r="D24" s="322">
        <f t="shared" si="5"/>
        <v>2027</v>
      </c>
      <c r="E24" s="438" t="s">
        <v>391</v>
      </c>
      <c r="F24" s="144" t="s">
        <v>392</v>
      </c>
      <c r="G24" s="160">
        <v>821</v>
      </c>
      <c r="H24" s="154">
        <v>1</v>
      </c>
      <c r="I24" s="154">
        <v>2018</v>
      </c>
      <c r="J24" s="154">
        <v>300</v>
      </c>
      <c r="K24" s="154">
        <f t="shared" si="0"/>
        <v>25</v>
      </c>
      <c r="L24" s="155">
        <f t="shared" si="1"/>
        <v>25</v>
      </c>
      <c r="M24" s="155">
        <f t="shared" si="2"/>
        <v>7</v>
      </c>
      <c r="N24" s="156">
        <f t="shared" si="3"/>
        <v>0.28000000000000003</v>
      </c>
      <c r="P24" s="162"/>
      <c r="Q24" s="124">
        <f t="shared" si="4"/>
        <v>19</v>
      </c>
      <c r="R24" s="162"/>
      <c r="S24" s="162"/>
      <c r="T24" s="162"/>
    </row>
    <row r="25" spans="1:25" s="150" customFormat="1" ht="32.25" customHeight="1" x14ac:dyDescent="0.25">
      <c r="A25" s="436"/>
      <c r="B25" s="324" t="s">
        <v>412</v>
      </c>
      <c r="C25" s="323">
        <v>2024</v>
      </c>
      <c r="D25" s="323">
        <f t="shared" si="5"/>
        <v>2027</v>
      </c>
      <c r="E25" s="439"/>
      <c r="F25" s="136" t="s">
        <v>393</v>
      </c>
      <c r="G25" s="163" t="s">
        <v>394</v>
      </c>
      <c r="H25" s="133">
        <v>1</v>
      </c>
      <c r="I25" s="133">
        <v>1971</v>
      </c>
      <c r="J25" s="133">
        <v>300</v>
      </c>
      <c r="K25" s="133">
        <f t="shared" si="0"/>
        <v>25</v>
      </c>
      <c r="L25" s="134">
        <f t="shared" si="1"/>
        <v>25</v>
      </c>
      <c r="M25" s="134">
        <f t="shared" si="2"/>
        <v>54</v>
      </c>
      <c r="N25" s="135">
        <f t="shared" si="3"/>
        <v>2.16</v>
      </c>
      <c r="P25" s="162"/>
      <c r="Q25" s="124">
        <f t="shared" si="4"/>
        <v>20</v>
      </c>
      <c r="R25" s="162"/>
      <c r="S25" s="162"/>
      <c r="T25" s="162"/>
    </row>
    <row r="26" spans="1:25" s="150" customFormat="1" ht="29.25" customHeight="1" x14ac:dyDescent="0.25">
      <c r="A26" s="436"/>
      <c r="B26" s="324" t="s">
        <v>412</v>
      </c>
      <c r="C26" s="323">
        <v>2024</v>
      </c>
      <c r="D26" s="323">
        <f t="shared" si="5"/>
        <v>2027</v>
      </c>
      <c r="E26" s="439"/>
      <c r="F26" s="136" t="s">
        <v>395</v>
      </c>
      <c r="G26" s="163"/>
      <c r="H26" s="133">
        <v>2</v>
      </c>
      <c r="I26" s="133">
        <v>1971</v>
      </c>
      <c r="J26" s="133">
        <v>300</v>
      </c>
      <c r="K26" s="133">
        <f>J26/12</f>
        <v>25</v>
      </c>
      <c r="L26" s="134">
        <f>J26/12</f>
        <v>25</v>
      </c>
      <c r="M26" s="134">
        <f>O$3-I26</f>
        <v>54</v>
      </c>
      <c r="N26" s="135">
        <f>M26/K26</f>
        <v>2.16</v>
      </c>
      <c r="P26" s="162"/>
      <c r="Q26" s="124">
        <f t="shared" si="4"/>
        <v>21</v>
      </c>
      <c r="R26" s="162"/>
      <c r="S26" s="162"/>
      <c r="T26" s="162"/>
    </row>
    <row r="27" spans="1:25" s="150" customFormat="1" ht="26.25" thickBot="1" x14ac:dyDescent="0.3">
      <c r="A27" s="437"/>
      <c r="B27" s="325" t="s">
        <v>412</v>
      </c>
      <c r="C27" s="326">
        <v>2024</v>
      </c>
      <c r="D27" s="326">
        <f t="shared" si="5"/>
        <v>2027</v>
      </c>
      <c r="E27" s="440"/>
      <c r="F27" s="152" t="s">
        <v>396</v>
      </c>
      <c r="G27" s="140" t="s">
        <v>397</v>
      </c>
      <c r="H27" s="140">
        <v>1</v>
      </c>
      <c r="I27" s="140">
        <v>1971</v>
      </c>
      <c r="J27" s="140">
        <v>300</v>
      </c>
      <c r="K27" s="140">
        <f t="shared" si="0"/>
        <v>25</v>
      </c>
      <c r="L27" s="141">
        <f t="shared" si="1"/>
        <v>25</v>
      </c>
      <c r="M27" s="141">
        <f t="shared" si="2"/>
        <v>54</v>
      </c>
      <c r="N27" s="142">
        <f t="shared" si="3"/>
        <v>2.16</v>
      </c>
      <c r="P27" s="162"/>
      <c r="Q27" s="124">
        <f t="shared" si="4"/>
        <v>22</v>
      </c>
      <c r="R27" s="162"/>
      <c r="S27" s="162"/>
      <c r="T27" s="162"/>
    </row>
    <row r="28" spans="1:25" s="150" customFormat="1" ht="24" customHeight="1" x14ac:dyDescent="0.25">
      <c r="A28" s="435" t="s">
        <v>398</v>
      </c>
      <c r="B28" s="321" t="s">
        <v>412</v>
      </c>
      <c r="C28" s="322">
        <v>2024</v>
      </c>
      <c r="D28" s="322">
        <f t="shared" si="5"/>
        <v>2027</v>
      </c>
      <c r="E28" s="438" t="s">
        <v>399</v>
      </c>
      <c r="F28" s="144" t="s">
        <v>400</v>
      </c>
      <c r="G28" s="160"/>
      <c r="H28" s="154">
        <v>1</v>
      </c>
      <c r="I28" s="154">
        <v>2022</v>
      </c>
      <c r="J28" s="154">
        <v>300</v>
      </c>
      <c r="K28" s="154">
        <f t="shared" si="0"/>
        <v>25</v>
      </c>
      <c r="L28" s="155">
        <f t="shared" si="1"/>
        <v>25</v>
      </c>
      <c r="M28" s="155">
        <f t="shared" si="2"/>
        <v>3</v>
      </c>
      <c r="N28" s="156">
        <f t="shared" si="3"/>
        <v>0.12</v>
      </c>
      <c r="Q28" s="124">
        <f t="shared" si="4"/>
        <v>23</v>
      </c>
    </row>
    <row r="29" spans="1:25" s="150" customFormat="1" ht="37.5" customHeight="1" x14ac:dyDescent="0.25">
      <c r="A29" s="436"/>
      <c r="B29" s="324" t="s">
        <v>412</v>
      </c>
      <c r="C29" s="323">
        <v>2024</v>
      </c>
      <c r="D29" s="323">
        <f t="shared" si="5"/>
        <v>2027</v>
      </c>
      <c r="E29" s="439"/>
      <c r="F29" s="136" t="s">
        <v>401</v>
      </c>
      <c r="G29" s="133" t="s">
        <v>402</v>
      </c>
      <c r="H29" s="133">
        <v>3</v>
      </c>
      <c r="I29" s="133">
        <v>1970</v>
      </c>
      <c r="J29" s="133">
        <v>300</v>
      </c>
      <c r="K29" s="133">
        <f t="shared" si="0"/>
        <v>25</v>
      </c>
      <c r="L29" s="134">
        <f t="shared" si="1"/>
        <v>25</v>
      </c>
      <c r="M29" s="134">
        <f t="shared" si="2"/>
        <v>55</v>
      </c>
      <c r="N29" s="135">
        <f t="shared" si="3"/>
        <v>2.2000000000000002</v>
      </c>
      <c r="Q29" s="124">
        <f t="shared" si="4"/>
        <v>24</v>
      </c>
    </row>
    <row r="30" spans="1:25" s="150" customFormat="1" ht="33" customHeight="1" thickBot="1" x14ac:dyDescent="0.3">
      <c r="A30" s="437"/>
      <c r="B30" s="325" t="s">
        <v>412</v>
      </c>
      <c r="C30" s="326">
        <v>2024</v>
      </c>
      <c r="D30" s="326">
        <f t="shared" si="5"/>
        <v>2027</v>
      </c>
      <c r="E30" s="440"/>
      <c r="F30" s="152" t="s">
        <v>403</v>
      </c>
      <c r="G30" s="140" t="s">
        <v>404</v>
      </c>
      <c r="H30" s="140">
        <v>1</v>
      </c>
      <c r="I30" s="140">
        <v>1970</v>
      </c>
      <c r="J30" s="140">
        <v>300</v>
      </c>
      <c r="K30" s="140">
        <f t="shared" si="0"/>
        <v>25</v>
      </c>
      <c r="L30" s="141">
        <f t="shared" si="1"/>
        <v>25</v>
      </c>
      <c r="M30" s="141">
        <f t="shared" si="2"/>
        <v>55</v>
      </c>
      <c r="N30" s="142">
        <f t="shared" si="3"/>
        <v>2.2000000000000002</v>
      </c>
      <c r="Q30" s="124">
        <f t="shared" si="4"/>
        <v>25</v>
      </c>
    </row>
    <row r="31" spans="1:25" s="150" customFormat="1" x14ac:dyDescent="0.25">
      <c r="A31" s="435" t="s">
        <v>405</v>
      </c>
      <c r="B31" s="321" t="s">
        <v>689</v>
      </c>
      <c r="C31" s="322">
        <v>2024</v>
      </c>
      <c r="D31" s="322">
        <f t="shared" si="5"/>
        <v>2027</v>
      </c>
      <c r="E31" s="438" t="s">
        <v>406</v>
      </c>
      <c r="F31" s="164" t="s">
        <v>407</v>
      </c>
      <c r="G31" s="153" t="s">
        <v>408</v>
      </c>
      <c r="H31" s="154">
        <v>1</v>
      </c>
      <c r="I31" s="154">
        <v>2015</v>
      </c>
      <c r="J31" s="154">
        <v>300</v>
      </c>
      <c r="K31" s="154">
        <f t="shared" si="0"/>
        <v>25</v>
      </c>
      <c r="L31" s="155">
        <f t="shared" si="1"/>
        <v>25</v>
      </c>
      <c r="M31" s="155">
        <f t="shared" si="2"/>
        <v>10</v>
      </c>
      <c r="N31" s="156">
        <f t="shared" si="3"/>
        <v>0.4</v>
      </c>
      <c r="Q31" s="124">
        <f t="shared" si="4"/>
        <v>26</v>
      </c>
    </row>
    <row r="32" spans="1:25" s="150" customFormat="1" ht="25.5" x14ac:dyDescent="0.25">
      <c r="A32" s="436"/>
      <c r="B32" s="324" t="s">
        <v>689</v>
      </c>
      <c r="C32" s="323">
        <v>2024</v>
      </c>
      <c r="D32" s="323">
        <f t="shared" si="5"/>
        <v>2027</v>
      </c>
      <c r="E32" s="439"/>
      <c r="F32" s="136" t="s">
        <v>409</v>
      </c>
      <c r="G32" s="165" t="s">
        <v>410</v>
      </c>
      <c r="H32" s="133">
        <v>3</v>
      </c>
      <c r="I32" s="133">
        <v>1976</v>
      </c>
      <c r="J32" s="133">
        <v>300</v>
      </c>
      <c r="K32" s="133">
        <f t="shared" si="0"/>
        <v>25</v>
      </c>
      <c r="L32" s="134">
        <f t="shared" si="1"/>
        <v>25</v>
      </c>
      <c r="M32" s="134">
        <f t="shared" si="2"/>
        <v>49</v>
      </c>
      <c r="N32" s="135">
        <f t="shared" si="3"/>
        <v>1.96</v>
      </c>
      <c r="Q32" s="124">
        <f t="shared" si="4"/>
        <v>27</v>
      </c>
    </row>
    <row r="33" spans="1:17" s="150" customFormat="1" ht="26.25" thickBot="1" x14ac:dyDescent="0.3">
      <c r="A33" s="437"/>
      <c r="B33" s="325" t="s">
        <v>689</v>
      </c>
      <c r="C33" s="326">
        <v>2024</v>
      </c>
      <c r="D33" s="326">
        <f t="shared" si="5"/>
        <v>2027</v>
      </c>
      <c r="E33" s="440"/>
      <c r="F33" s="152" t="s">
        <v>411</v>
      </c>
      <c r="G33" s="140"/>
      <c r="H33" s="140">
        <v>1</v>
      </c>
      <c r="I33" s="140">
        <v>1976</v>
      </c>
      <c r="J33" s="140">
        <v>300</v>
      </c>
      <c r="K33" s="140">
        <f t="shared" si="0"/>
        <v>25</v>
      </c>
      <c r="L33" s="141">
        <f t="shared" si="1"/>
        <v>25</v>
      </c>
      <c r="M33" s="141">
        <f t="shared" si="2"/>
        <v>49</v>
      </c>
      <c r="N33" s="142">
        <f t="shared" si="3"/>
        <v>1.96</v>
      </c>
      <c r="Q33" s="124">
        <f t="shared" si="4"/>
        <v>28</v>
      </c>
    </row>
    <row r="34" spans="1:17" s="166" customFormat="1" ht="14.25" x14ac:dyDescent="0.2">
      <c r="A34" s="435" t="s">
        <v>412</v>
      </c>
      <c r="B34" s="324" t="s">
        <v>412</v>
      </c>
      <c r="C34" s="323">
        <v>2024</v>
      </c>
      <c r="D34" s="323">
        <f t="shared" ref="D34:D39" si="6">C34+3</f>
        <v>2027</v>
      </c>
      <c r="E34" s="438" t="s">
        <v>413</v>
      </c>
      <c r="F34" s="144" t="s">
        <v>414</v>
      </c>
      <c r="G34" s="144"/>
      <c r="H34" s="154">
        <v>1</v>
      </c>
      <c r="I34" s="154">
        <v>2022</v>
      </c>
      <c r="J34" s="154">
        <v>300</v>
      </c>
      <c r="K34" s="154">
        <f t="shared" si="0"/>
        <v>25</v>
      </c>
      <c r="L34" s="155">
        <f t="shared" si="1"/>
        <v>25</v>
      </c>
      <c r="M34" s="155">
        <f t="shared" si="2"/>
        <v>3</v>
      </c>
      <c r="N34" s="156">
        <f t="shared" si="3"/>
        <v>0.12</v>
      </c>
      <c r="Q34" s="124">
        <f t="shared" si="4"/>
        <v>29</v>
      </c>
    </row>
    <row r="35" spans="1:17" s="166" customFormat="1" ht="14.25" x14ac:dyDescent="0.2">
      <c r="A35" s="436"/>
      <c r="B35" s="324" t="s">
        <v>412</v>
      </c>
      <c r="C35" s="323">
        <v>2024</v>
      </c>
      <c r="D35" s="323">
        <f t="shared" si="6"/>
        <v>2027</v>
      </c>
      <c r="E35" s="439"/>
      <c r="F35" s="128" t="s">
        <v>415</v>
      </c>
      <c r="G35" s="128"/>
      <c r="H35" s="133">
        <v>1</v>
      </c>
      <c r="I35" s="133">
        <v>2022</v>
      </c>
      <c r="J35" s="133">
        <v>300</v>
      </c>
      <c r="K35" s="133">
        <f>J35/12</f>
        <v>25</v>
      </c>
      <c r="L35" s="134">
        <f>J35/12</f>
        <v>25</v>
      </c>
      <c r="M35" s="134">
        <f>O$3-I35</f>
        <v>3</v>
      </c>
      <c r="N35" s="135">
        <f>M35/K35</f>
        <v>0.12</v>
      </c>
      <c r="Q35" s="124">
        <f t="shared" si="4"/>
        <v>30</v>
      </c>
    </row>
    <row r="36" spans="1:17" s="166" customFormat="1" ht="25.5" x14ac:dyDescent="0.2">
      <c r="A36" s="436"/>
      <c r="B36" s="324" t="s">
        <v>412</v>
      </c>
      <c r="C36" s="323">
        <v>2024</v>
      </c>
      <c r="D36" s="323">
        <f t="shared" si="6"/>
        <v>2027</v>
      </c>
      <c r="E36" s="439"/>
      <c r="F36" s="136" t="s">
        <v>416</v>
      </c>
      <c r="G36" s="163"/>
      <c r="H36" s="133">
        <v>2</v>
      </c>
      <c r="I36" s="133">
        <v>1979</v>
      </c>
      <c r="J36" s="133">
        <v>300</v>
      </c>
      <c r="K36" s="133">
        <f t="shared" si="0"/>
        <v>25</v>
      </c>
      <c r="L36" s="134">
        <f t="shared" si="1"/>
        <v>25</v>
      </c>
      <c r="M36" s="134">
        <f t="shared" si="2"/>
        <v>46</v>
      </c>
      <c r="N36" s="135">
        <f>M36/K36</f>
        <v>1.84</v>
      </c>
      <c r="Q36" s="124">
        <f t="shared" si="4"/>
        <v>31</v>
      </c>
    </row>
    <row r="37" spans="1:17" s="166" customFormat="1" ht="25.5" x14ac:dyDescent="0.2">
      <c r="A37" s="436"/>
      <c r="B37" s="324" t="s">
        <v>412</v>
      </c>
      <c r="C37" s="323">
        <v>2024</v>
      </c>
      <c r="D37" s="323">
        <f t="shared" si="6"/>
        <v>2027</v>
      </c>
      <c r="E37" s="439"/>
      <c r="F37" s="136" t="s">
        <v>417</v>
      </c>
      <c r="G37" s="163"/>
      <c r="H37" s="133">
        <v>2</v>
      </c>
      <c r="I37" s="133">
        <v>1979</v>
      </c>
      <c r="J37" s="133">
        <v>300</v>
      </c>
      <c r="K37" s="133">
        <f>J37/12</f>
        <v>25</v>
      </c>
      <c r="L37" s="134">
        <f>J37/12</f>
        <v>25</v>
      </c>
      <c r="M37" s="134">
        <f>O$3-I37</f>
        <v>46</v>
      </c>
      <c r="N37" s="135">
        <f>M37/K37</f>
        <v>1.84</v>
      </c>
      <c r="Q37" s="124">
        <f t="shared" si="4"/>
        <v>32</v>
      </c>
    </row>
    <row r="38" spans="1:17" s="166" customFormat="1" ht="25.5" x14ac:dyDescent="0.2">
      <c r="A38" s="436"/>
      <c r="B38" s="324" t="s">
        <v>412</v>
      </c>
      <c r="C38" s="323">
        <v>2024</v>
      </c>
      <c r="D38" s="323">
        <f t="shared" si="6"/>
        <v>2027</v>
      </c>
      <c r="E38" s="439"/>
      <c r="F38" s="136" t="s">
        <v>418</v>
      </c>
      <c r="G38" s="163"/>
      <c r="H38" s="133">
        <v>2</v>
      </c>
      <c r="I38" s="133">
        <v>1979</v>
      </c>
      <c r="J38" s="133">
        <v>300</v>
      </c>
      <c r="K38" s="133">
        <f t="shared" si="0"/>
        <v>25</v>
      </c>
      <c r="L38" s="134">
        <f t="shared" si="1"/>
        <v>25</v>
      </c>
      <c r="M38" s="134">
        <f t="shared" si="2"/>
        <v>46</v>
      </c>
      <c r="N38" s="135">
        <f>M38/K38</f>
        <v>1.84</v>
      </c>
      <c r="Q38" s="124">
        <f t="shared" si="4"/>
        <v>33</v>
      </c>
    </row>
    <row r="39" spans="1:17" s="167" customFormat="1" ht="24" customHeight="1" thickBot="1" x14ac:dyDescent="0.25">
      <c r="A39" s="437"/>
      <c r="B39" s="324" t="s">
        <v>412</v>
      </c>
      <c r="C39" s="323">
        <v>2024</v>
      </c>
      <c r="D39" s="323">
        <f t="shared" si="6"/>
        <v>2027</v>
      </c>
      <c r="E39" s="440"/>
      <c r="F39" s="152" t="s">
        <v>419</v>
      </c>
      <c r="G39" s="157"/>
      <c r="H39" s="140" t="s">
        <v>420</v>
      </c>
      <c r="I39" s="140">
        <v>1979</v>
      </c>
      <c r="J39" s="140">
        <v>360</v>
      </c>
      <c r="K39" s="140">
        <f t="shared" si="0"/>
        <v>30</v>
      </c>
      <c r="L39" s="141">
        <f t="shared" si="1"/>
        <v>30</v>
      </c>
      <c r="M39" s="141">
        <f t="shared" si="2"/>
        <v>46</v>
      </c>
      <c r="N39" s="142">
        <f>M39/K39</f>
        <v>1.5333333333333334</v>
      </c>
      <c r="Q39" s="124">
        <f t="shared" si="4"/>
        <v>34</v>
      </c>
    </row>
    <row r="40" spans="1:17" s="166" customFormat="1" ht="33" customHeight="1" x14ac:dyDescent="0.2">
      <c r="A40" s="435" t="s">
        <v>421</v>
      </c>
      <c r="B40" s="321" t="s">
        <v>390</v>
      </c>
      <c r="C40" s="322">
        <v>2025</v>
      </c>
      <c r="D40" s="322">
        <v>2030</v>
      </c>
      <c r="E40" s="438" t="s">
        <v>422</v>
      </c>
      <c r="F40" s="144" t="s">
        <v>713</v>
      </c>
      <c r="G40" s="144">
        <v>3627</v>
      </c>
      <c r="H40" s="154">
        <v>1</v>
      </c>
      <c r="I40" s="154">
        <v>2022</v>
      </c>
      <c r="J40" s="154">
        <v>300</v>
      </c>
      <c r="K40" s="154">
        <f t="shared" si="0"/>
        <v>25</v>
      </c>
      <c r="L40" s="155">
        <f t="shared" si="1"/>
        <v>25</v>
      </c>
      <c r="M40" s="155">
        <f t="shared" si="2"/>
        <v>3</v>
      </c>
      <c r="N40" s="156">
        <f t="shared" si="3"/>
        <v>0.12</v>
      </c>
      <c r="Q40" s="124">
        <f t="shared" si="4"/>
        <v>35</v>
      </c>
    </row>
    <row r="41" spans="1:17" s="166" customFormat="1" ht="26.25" customHeight="1" x14ac:dyDescent="0.2">
      <c r="A41" s="436"/>
      <c r="B41" s="324" t="s">
        <v>421</v>
      </c>
      <c r="C41" s="323">
        <v>2025</v>
      </c>
      <c r="D41" s="323">
        <v>2030</v>
      </c>
      <c r="E41" s="439"/>
      <c r="F41" s="128" t="s">
        <v>714</v>
      </c>
      <c r="G41" s="128">
        <v>3630</v>
      </c>
      <c r="H41" s="133">
        <v>1</v>
      </c>
      <c r="I41" s="133">
        <v>2022</v>
      </c>
      <c r="J41" s="133">
        <v>300</v>
      </c>
      <c r="K41" s="133">
        <f>J41/12</f>
        <v>25</v>
      </c>
      <c r="L41" s="134">
        <f>J41/12</f>
        <v>25</v>
      </c>
      <c r="M41" s="134">
        <f>O$3-I41</f>
        <v>3</v>
      </c>
      <c r="N41" s="135">
        <f>M41/K41</f>
        <v>0.12</v>
      </c>
      <c r="Q41" s="124">
        <f t="shared" si="4"/>
        <v>36</v>
      </c>
    </row>
    <row r="42" spans="1:17" s="166" customFormat="1" ht="26.25" customHeight="1" x14ac:dyDescent="0.2">
      <c r="A42" s="436"/>
      <c r="B42" s="324" t="s">
        <v>421</v>
      </c>
      <c r="C42" s="323">
        <v>2025</v>
      </c>
      <c r="D42" s="323">
        <v>2030</v>
      </c>
      <c r="E42" s="439"/>
      <c r="F42" s="354" t="s">
        <v>715</v>
      </c>
      <c r="G42" s="128"/>
      <c r="H42" s="133">
        <v>4</v>
      </c>
      <c r="I42" s="355"/>
      <c r="J42" s="133">
        <v>300</v>
      </c>
      <c r="K42" s="133">
        <f t="shared" ref="K42" si="7">J42/12</f>
        <v>25</v>
      </c>
      <c r="L42" s="134">
        <f t="shared" ref="L42" si="8">J42/12</f>
        <v>25</v>
      </c>
      <c r="M42" s="134">
        <f t="shared" ref="M42" si="9">O$3-I42</f>
        <v>2025</v>
      </c>
      <c r="N42" s="135">
        <f t="shared" ref="N42" si="10">M42/K42</f>
        <v>81</v>
      </c>
      <c r="Q42" s="124"/>
    </row>
    <row r="43" spans="1:17" s="166" customFormat="1" ht="25.5" x14ac:dyDescent="0.2">
      <c r="A43" s="436"/>
      <c r="B43" s="324" t="s">
        <v>421</v>
      </c>
      <c r="C43" s="323">
        <v>2025</v>
      </c>
      <c r="D43" s="323">
        <v>2030</v>
      </c>
      <c r="E43" s="439"/>
      <c r="F43" s="136" t="s">
        <v>423</v>
      </c>
      <c r="G43" s="163"/>
      <c r="H43" s="133">
        <v>6</v>
      </c>
      <c r="I43" s="133">
        <v>1977</v>
      </c>
      <c r="J43" s="133">
        <v>300</v>
      </c>
      <c r="K43" s="133">
        <f t="shared" si="0"/>
        <v>25</v>
      </c>
      <c r="L43" s="134">
        <f t="shared" si="1"/>
        <v>25</v>
      </c>
      <c r="M43" s="134">
        <f t="shared" si="2"/>
        <v>48</v>
      </c>
      <c r="N43" s="135">
        <f>M43/K43</f>
        <v>1.92</v>
      </c>
      <c r="Q43" s="124">
        <f>Q41+1</f>
        <v>37</v>
      </c>
    </row>
    <row r="44" spans="1:17" s="166" customFormat="1" ht="30.75" customHeight="1" thickBot="1" x14ac:dyDescent="0.25">
      <c r="A44" s="437"/>
      <c r="B44" s="352"/>
      <c r="C44" s="356"/>
      <c r="D44" s="356"/>
      <c r="E44" s="440"/>
      <c r="F44" s="157" t="s">
        <v>424</v>
      </c>
      <c r="G44" s="157"/>
      <c r="H44" s="140" t="s">
        <v>425</v>
      </c>
      <c r="I44" s="140">
        <v>1977</v>
      </c>
      <c r="J44" s="140">
        <v>360</v>
      </c>
      <c r="K44" s="140">
        <f t="shared" si="0"/>
        <v>30</v>
      </c>
      <c r="L44" s="141">
        <f t="shared" si="1"/>
        <v>30</v>
      </c>
      <c r="M44" s="141">
        <f t="shared" si="2"/>
        <v>48</v>
      </c>
      <c r="N44" s="142">
        <f>M44/K44</f>
        <v>1.6</v>
      </c>
      <c r="Q44" s="124">
        <f t="shared" si="4"/>
        <v>38</v>
      </c>
    </row>
    <row r="45" spans="1:17" s="169" customFormat="1" ht="25.5" x14ac:dyDescent="0.2">
      <c r="A45" s="435" t="s">
        <v>426</v>
      </c>
      <c r="B45" s="321" t="s">
        <v>405</v>
      </c>
      <c r="C45" s="322">
        <v>2025</v>
      </c>
      <c r="D45" s="322">
        <v>2030</v>
      </c>
      <c r="E45" s="438" t="s">
        <v>427</v>
      </c>
      <c r="F45" s="168" t="s">
        <v>428</v>
      </c>
      <c r="G45" s="144" t="s">
        <v>429</v>
      </c>
      <c r="H45" s="154">
        <v>2</v>
      </c>
      <c r="I45" s="154">
        <v>1976</v>
      </c>
      <c r="J45" s="154">
        <v>300</v>
      </c>
      <c r="K45" s="154">
        <f t="shared" si="0"/>
        <v>25</v>
      </c>
      <c r="L45" s="155">
        <f t="shared" si="1"/>
        <v>25</v>
      </c>
      <c r="M45" s="155">
        <f t="shared" si="2"/>
        <v>49</v>
      </c>
      <c r="N45" s="156">
        <f t="shared" si="3"/>
        <v>1.96</v>
      </c>
      <c r="Q45" s="124">
        <f t="shared" si="4"/>
        <v>39</v>
      </c>
    </row>
    <row r="46" spans="1:17" s="169" customFormat="1" ht="26.25" thickBot="1" x14ac:dyDescent="0.25">
      <c r="A46" s="437"/>
      <c r="B46" s="325" t="s">
        <v>405</v>
      </c>
      <c r="C46" s="326">
        <v>2025</v>
      </c>
      <c r="D46" s="326">
        <v>2030</v>
      </c>
      <c r="E46" s="440"/>
      <c r="F46" s="152" t="s">
        <v>430</v>
      </c>
      <c r="G46" s="139" t="s">
        <v>429</v>
      </c>
      <c r="H46" s="140">
        <v>2</v>
      </c>
      <c r="I46" s="140">
        <v>1976</v>
      </c>
      <c r="J46" s="140">
        <v>300</v>
      </c>
      <c r="K46" s="140">
        <f t="shared" si="0"/>
        <v>25</v>
      </c>
      <c r="L46" s="141">
        <f t="shared" si="1"/>
        <v>25</v>
      </c>
      <c r="M46" s="141">
        <f t="shared" si="2"/>
        <v>49</v>
      </c>
      <c r="N46" s="142">
        <f t="shared" si="3"/>
        <v>1.96</v>
      </c>
      <c r="Q46" s="124">
        <f t="shared" si="4"/>
        <v>40</v>
      </c>
    </row>
    <row r="47" spans="1:17" s="169" customFormat="1" ht="25.5" customHeight="1" x14ac:dyDescent="0.2">
      <c r="A47" s="435" t="s">
        <v>431</v>
      </c>
      <c r="B47" s="143"/>
      <c r="C47" s="351">
        <v>2021</v>
      </c>
      <c r="D47" s="351">
        <v>2026</v>
      </c>
      <c r="E47" s="438" t="s">
        <v>432</v>
      </c>
      <c r="F47" s="144" t="s">
        <v>433</v>
      </c>
      <c r="G47" s="170"/>
      <c r="H47" s="154">
        <v>1</v>
      </c>
      <c r="I47" s="154">
        <v>2014</v>
      </c>
      <c r="J47" s="154">
        <v>300</v>
      </c>
      <c r="K47" s="154">
        <f t="shared" si="0"/>
        <v>25</v>
      </c>
      <c r="L47" s="155">
        <f t="shared" si="1"/>
        <v>25</v>
      </c>
      <c r="M47" s="155">
        <f t="shared" si="2"/>
        <v>11</v>
      </c>
      <c r="N47" s="156">
        <f t="shared" si="3"/>
        <v>0.44</v>
      </c>
      <c r="Q47" s="124">
        <f t="shared" si="4"/>
        <v>41</v>
      </c>
    </row>
    <row r="48" spans="1:17" s="169" customFormat="1" ht="14.25" x14ac:dyDescent="0.2">
      <c r="A48" s="436"/>
      <c r="B48" s="126"/>
      <c r="C48" s="127">
        <v>2021</v>
      </c>
      <c r="D48" s="127">
        <v>2026</v>
      </c>
      <c r="E48" s="439"/>
      <c r="F48" s="128" t="s">
        <v>434</v>
      </c>
      <c r="G48" s="163"/>
      <c r="H48" s="133">
        <v>1</v>
      </c>
      <c r="I48" s="133">
        <v>2016</v>
      </c>
      <c r="J48" s="133">
        <v>300</v>
      </c>
      <c r="K48" s="133">
        <f>J48/12</f>
        <v>25</v>
      </c>
      <c r="L48" s="134">
        <f>J48/12</f>
        <v>25</v>
      </c>
      <c r="M48" s="134">
        <f t="shared" si="2"/>
        <v>9</v>
      </c>
      <c r="N48" s="135">
        <f t="shared" si="3"/>
        <v>0.36</v>
      </c>
      <c r="Q48" s="124">
        <f t="shared" si="4"/>
        <v>42</v>
      </c>
    </row>
    <row r="49" spans="1:17" s="169" customFormat="1" ht="25.5" x14ac:dyDescent="0.2">
      <c r="A49" s="436"/>
      <c r="B49" s="126"/>
      <c r="C49" s="127">
        <v>2021</v>
      </c>
      <c r="D49" s="127">
        <v>2026</v>
      </c>
      <c r="E49" s="439"/>
      <c r="F49" s="136" t="s">
        <v>435</v>
      </c>
      <c r="G49" s="163"/>
      <c r="H49" s="133">
        <v>4</v>
      </c>
      <c r="I49" s="133">
        <v>2016</v>
      </c>
      <c r="J49" s="133">
        <v>300</v>
      </c>
      <c r="K49" s="133">
        <f t="shared" si="0"/>
        <v>25</v>
      </c>
      <c r="L49" s="134">
        <f t="shared" si="1"/>
        <v>25</v>
      </c>
      <c r="M49" s="134">
        <f t="shared" si="2"/>
        <v>9</v>
      </c>
      <c r="N49" s="135">
        <f t="shared" si="3"/>
        <v>0.36</v>
      </c>
      <c r="Q49" s="124">
        <f t="shared" si="4"/>
        <v>43</v>
      </c>
    </row>
    <row r="50" spans="1:17" s="169" customFormat="1" ht="35.25" customHeight="1" x14ac:dyDescent="0.2">
      <c r="A50" s="436"/>
      <c r="B50" s="126"/>
      <c r="C50" s="127">
        <v>2021</v>
      </c>
      <c r="D50" s="127">
        <v>2026</v>
      </c>
      <c r="E50" s="439"/>
      <c r="F50" s="136" t="s">
        <v>436</v>
      </c>
      <c r="G50" s="163"/>
      <c r="H50" s="133">
        <v>4</v>
      </c>
      <c r="I50" s="133">
        <v>2016</v>
      </c>
      <c r="J50" s="133">
        <v>300</v>
      </c>
      <c r="K50" s="133">
        <f t="shared" si="0"/>
        <v>25</v>
      </c>
      <c r="L50" s="134">
        <f t="shared" si="1"/>
        <v>25</v>
      </c>
      <c r="M50" s="134">
        <f t="shared" si="2"/>
        <v>9</v>
      </c>
      <c r="N50" s="135">
        <f t="shared" si="3"/>
        <v>0.36</v>
      </c>
      <c r="Q50" s="124">
        <f t="shared" si="4"/>
        <v>44</v>
      </c>
    </row>
    <row r="51" spans="1:17" s="169" customFormat="1" ht="33.75" customHeight="1" thickBot="1" x14ac:dyDescent="0.25">
      <c r="A51" s="437"/>
      <c r="B51" s="137"/>
      <c r="C51" s="138">
        <v>2021</v>
      </c>
      <c r="D51" s="138">
        <v>2026</v>
      </c>
      <c r="E51" s="440"/>
      <c r="F51" s="152" t="s">
        <v>437</v>
      </c>
      <c r="G51" s="157"/>
      <c r="H51" s="140" t="s">
        <v>425</v>
      </c>
      <c r="I51" s="140">
        <v>2016</v>
      </c>
      <c r="J51" s="140">
        <v>360</v>
      </c>
      <c r="K51" s="140">
        <f t="shared" si="0"/>
        <v>30</v>
      </c>
      <c r="L51" s="141">
        <f t="shared" si="1"/>
        <v>30</v>
      </c>
      <c r="M51" s="141">
        <f t="shared" si="2"/>
        <v>9</v>
      </c>
      <c r="N51" s="142">
        <f t="shared" si="3"/>
        <v>0.3</v>
      </c>
      <c r="Q51" s="124">
        <f t="shared" si="4"/>
        <v>45</v>
      </c>
    </row>
    <row r="52" spans="1:17" s="169" customFormat="1" ht="27.75" customHeight="1" x14ac:dyDescent="0.2">
      <c r="A52" s="435" t="s">
        <v>438</v>
      </c>
      <c r="B52" s="143"/>
      <c r="C52" s="350">
        <v>2021</v>
      </c>
      <c r="D52" s="350">
        <v>2026</v>
      </c>
      <c r="E52" s="438" t="s">
        <v>439</v>
      </c>
      <c r="F52" s="144" t="s">
        <v>440</v>
      </c>
      <c r="G52" s="170"/>
      <c r="H52" s="154">
        <v>1</v>
      </c>
      <c r="I52" s="154">
        <v>1986</v>
      </c>
      <c r="J52" s="154">
        <v>300</v>
      </c>
      <c r="K52" s="154">
        <f t="shared" si="0"/>
        <v>25</v>
      </c>
      <c r="L52" s="155">
        <f t="shared" si="1"/>
        <v>25</v>
      </c>
      <c r="M52" s="155">
        <f t="shared" si="2"/>
        <v>39</v>
      </c>
      <c r="N52" s="156">
        <f t="shared" si="3"/>
        <v>1.56</v>
      </c>
      <c r="Q52" s="124">
        <f t="shared" si="4"/>
        <v>46</v>
      </c>
    </row>
    <row r="53" spans="1:17" s="169" customFormat="1" ht="28.5" customHeight="1" x14ac:dyDescent="0.2">
      <c r="A53" s="436"/>
      <c r="B53" s="126"/>
      <c r="C53" s="127">
        <v>2021</v>
      </c>
      <c r="D53" s="127">
        <v>2026</v>
      </c>
      <c r="E53" s="439"/>
      <c r="F53" s="128" t="s">
        <v>441</v>
      </c>
      <c r="G53" s="163"/>
      <c r="H53" s="133">
        <v>1</v>
      </c>
      <c r="I53" s="133">
        <v>2023</v>
      </c>
      <c r="J53" s="133">
        <v>300</v>
      </c>
      <c r="K53" s="133">
        <f>J53/12</f>
        <v>25</v>
      </c>
      <c r="L53" s="134">
        <f>J53/12</f>
        <v>25</v>
      </c>
      <c r="M53" s="134">
        <f t="shared" si="2"/>
        <v>2</v>
      </c>
      <c r="N53" s="135">
        <f t="shared" si="3"/>
        <v>0.08</v>
      </c>
      <c r="Q53" s="124">
        <f t="shared" si="4"/>
        <v>47</v>
      </c>
    </row>
    <row r="54" spans="1:17" s="169" customFormat="1" ht="25.5" x14ac:dyDescent="0.2">
      <c r="A54" s="436"/>
      <c r="B54" s="126"/>
      <c r="C54" s="127">
        <v>2021</v>
      </c>
      <c r="D54" s="127">
        <v>2026</v>
      </c>
      <c r="E54" s="439"/>
      <c r="F54" s="136" t="s">
        <v>442</v>
      </c>
      <c r="G54" s="163"/>
      <c r="H54" s="133">
        <v>4</v>
      </c>
      <c r="I54" s="133">
        <v>1986</v>
      </c>
      <c r="J54" s="133">
        <v>300</v>
      </c>
      <c r="K54" s="133">
        <f t="shared" si="0"/>
        <v>25</v>
      </c>
      <c r="L54" s="134">
        <f t="shared" si="1"/>
        <v>25</v>
      </c>
      <c r="M54" s="134">
        <f t="shared" si="2"/>
        <v>39</v>
      </c>
      <c r="N54" s="135">
        <f t="shared" si="3"/>
        <v>1.56</v>
      </c>
      <c r="Q54" s="124">
        <f t="shared" si="4"/>
        <v>48</v>
      </c>
    </row>
    <row r="55" spans="1:17" s="169" customFormat="1" ht="25.5" x14ac:dyDescent="0.2">
      <c r="A55" s="436"/>
      <c r="B55" s="126"/>
      <c r="C55" s="127">
        <v>2021</v>
      </c>
      <c r="D55" s="127">
        <v>2026</v>
      </c>
      <c r="E55" s="439"/>
      <c r="F55" s="136" t="s">
        <v>443</v>
      </c>
      <c r="G55" s="163"/>
      <c r="H55" s="133">
        <v>2</v>
      </c>
      <c r="I55" s="133">
        <v>1986</v>
      </c>
      <c r="J55" s="133">
        <v>300</v>
      </c>
      <c r="K55" s="133">
        <f t="shared" si="0"/>
        <v>25</v>
      </c>
      <c r="L55" s="134">
        <f t="shared" si="1"/>
        <v>25</v>
      </c>
      <c r="M55" s="134">
        <f t="shared" si="2"/>
        <v>39</v>
      </c>
      <c r="N55" s="135">
        <f t="shared" si="3"/>
        <v>1.56</v>
      </c>
      <c r="Q55" s="124">
        <f t="shared" si="4"/>
        <v>49</v>
      </c>
    </row>
    <row r="56" spans="1:17" s="169" customFormat="1" ht="25.5" x14ac:dyDescent="0.2">
      <c r="A56" s="436"/>
      <c r="B56" s="126"/>
      <c r="C56" s="127">
        <v>2021</v>
      </c>
      <c r="D56" s="127">
        <v>2026</v>
      </c>
      <c r="E56" s="439"/>
      <c r="F56" s="136" t="s">
        <v>444</v>
      </c>
      <c r="G56" s="163"/>
      <c r="H56" s="133">
        <v>2</v>
      </c>
      <c r="I56" s="133">
        <v>1986</v>
      </c>
      <c r="J56" s="133">
        <v>300</v>
      </c>
      <c r="K56" s="133">
        <f t="shared" si="0"/>
        <v>25</v>
      </c>
      <c r="L56" s="134">
        <f t="shared" si="1"/>
        <v>25</v>
      </c>
      <c r="M56" s="134">
        <f t="shared" si="2"/>
        <v>39</v>
      </c>
      <c r="N56" s="135">
        <f t="shared" si="3"/>
        <v>1.56</v>
      </c>
      <c r="Q56" s="124">
        <f t="shared" si="4"/>
        <v>50</v>
      </c>
    </row>
    <row r="57" spans="1:17" s="169" customFormat="1" ht="30" customHeight="1" thickBot="1" x14ac:dyDescent="0.25">
      <c r="A57" s="437"/>
      <c r="B57" s="137"/>
      <c r="C57" s="127">
        <v>2021</v>
      </c>
      <c r="D57" s="127">
        <v>2026</v>
      </c>
      <c r="E57" s="440"/>
      <c r="F57" s="152" t="s">
        <v>445</v>
      </c>
      <c r="G57" s="157"/>
      <c r="H57" s="140" t="s">
        <v>425</v>
      </c>
      <c r="I57" s="140">
        <v>1986</v>
      </c>
      <c r="J57" s="140">
        <v>360</v>
      </c>
      <c r="K57" s="140">
        <f t="shared" si="0"/>
        <v>30</v>
      </c>
      <c r="L57" s="141">
        <f t="shared" si="1"/>
        <v>30</v>
      </c>
      <c r="M57" s="141">
        <f t="shared" si="2"/>
        <v>39</v>
      </c>
      <c r="N57" s="142">
        <f t="shared" si="3"/>
        <v>1.3</v>
      </c>
      <c r="Q57" s="124">
        <f t="shared" si="4"/>
        <v>51</v>
      </c>
    </row>
    <row r="58" spans="1:17" s="166" customFormat="1" ht="25.5" x14ac:dyDescent="0.2">
      <c r="A58" s="435" t="s">
        <v>446</v>
      </c>
      <c r="B58" s="321" t="s">
        <v>398</v>
      </c>
      <c r="C58" s="322">
        <v>2025</v>
      </c>
      <c r="D58" s="322">
        <v>2030</v>
      </c>
      <c r="E58" s="438" t="s">
        <v>447</v>
      </c>
      <c r="F58" s="168" t="s">
        <v>448</v>
      </c>
      <c r="G58" s="170" t="s">
        <v>429</v>
      </c>
      <c r="H58" s="154">
        <v>8</v>
      </c>
      <c r="I58" s="154">
        <v>1988</v>
      </c>
      <c r="J58" s="154">
        <v>300</v>
      </c>
      <c r="K58" s="154">
        <f t="shared" si="0"/>
        <v>25</v>
      </c>
      <c r="L58" s="155">
        <f t="shared" si="1"/>
        <v>25</v>
      </c>
      <c r="M58" s="155">
        <f t="shared" si="2"/>
        <v>37</v>
      </c>
      <c r="N58" s="156">
        <f t="shared" si="3"/>
        <v>1.48</v>
      </c>
      <c r="Q58" s="124">
        <f t="shared" si="4"/>
        <v>52</v>
      </c>
    </row>
    <row r="59" spans="1:17" s="167" customFormat="1" ht="38.25" customHeight="1" x14ac:dyDescent="0.2">
      <c r="A59" s="436"/>
      <c r="B59" s="324" t="s">
        <v>398</v>
      </c>
      <c r="C59" s="323">
        <v>2025</v>
      </c>
      <c r="D59" s="323">
        <v>2030</v>
      </c>
      <c r="E59" s="439"/>
      <c r="F59" s="136" t="s">
        <v>449</v>
      </c>
      <c r="G59" s="163" t="s">
        <v>429</v>
      </c>
      <c r="H59" s="133">
        <v>2</v>
      </c>
      <c r="I59" s="133">
        <v>1988</v>
      </c>
      <c r="J59" s="133">
        <v>300</v>
      </c>
      <c r="K59" s="133">
        <f t="shared" si="0"/>
        <v>25</v>
      </c>
      <c r="L59" s="134">
        <f t="shared" si="1"/>
        <v>25</v>
      </c>
      <c r="M59" s="134">
        <f t="shared" si="2"/>
        <v>37</v>
      </c>
      <c r="N59" s="135">
        <f t="shared" si="3"/>
        <v>1.48</v>
      </c>
      <c r="Q59" s="124">
        <f t="shared" si="4"/>
        <v>53</v>
      </c>
    </row>
    <row r="60" spans="1:17" s="167" customFormat="1" ht="38.25" customHeight="1" thickBot="1" x14ac:dyDescent="0.25">
      <c r="A60" s="437"/>
      <c r="B60" s="352" t="s">
        <v>398</v>
      </c>
      <c r="C60" s="357">
        <v>2025</v>
      </c>
      <c r="D60" s="357">
        <v>2030</v>
      </c>
      <c r="E60" s="440"/>
      <c r="F60" s="152" t="s">
        <v>450</v>
      </c>
      <c r="G60" s="157" t="s">
        <v>429</v>
      </c>
      <c r="H60" s="140" t="s">
        <v>451</v>
      </c>
      <c r="I60" s="140">
        <v>1988</v>
      </c>
      <c r="J60" s="140">
        <v>360</v>
      </c>
      <c r="K60" s="140">
        <f t="shared" si="0"/>
        <v>30</v>
      </c>
      <c r="L60" s="141">
        <f t="shared" si="1"/>
        <v>30</v>
      </c>
      <c r="M60" s="141">
        <f t="shared" si="2"/>
        <v>37</v>
      </c>
      <c r="N60" s="142">
        <f t="shared" si="3"/>
        <v>1.2333333333333334</v>
      </c>
      <c r="Q60" s="124">
        <f t="shared" si="4"/>
        <v>54</v>
      </c>
    </row>
    <row r="61" spans="1:17" s="169" customFormat="1" ht="25.5" x14ac:dyDescent="0.2">
      <c r="A61" s="435" t="s">
        <v>452</v>
      </c>
      <c r="B61" s="321" t="s">
        <v>405</v>
      </c>
      <c r="C61" s="322">
        <v>2025</v>
      </c>
      <c r="D61" s="322">
        <v>2030</v>
      </c>
      <c r="E61" s="438" t="s">
        <v>453</v>
      </c>
      <c r="F61" s="144" t="s">
        <v>454</v>
      </c>
      <c r="G61" s="144">
        <v>7538193</v>
      </c>
      <c r="H61" s="154">
        <v>1</v>
      </c>
      <c r="I61" s="154">
        <v>1976</v>
      </c>
      <c r="J61" s="154">
        <v>300</v>
      </c>
      <c r="K61" s="154">
        <f t="shared" si="0"/>
        <v>25</v>
      </c>
      <c r="L61" s="155">
        <f t="shared" si="1"/>
        <v>25</v>
      </c>
      <c r="M61" s="155">
        <f t="shared" si="2"/>
        <v>49</v>
      </c>
      <c r="N61" s="156">
        <f t="shared" si="3"/>
        <v>1.96</v>
      </c>
      <c r="Q61" s="124">
        <f t="shared" si="4"/>
        <v>55</v>
      </c>
    </row>
    <row r="62" spans="1:17" s="169" customFormat="1" ht="25.5" x14ac:dyDescent="0.2">
      <c r="A62" s="436"/>
      <c r="B62" s="324" t="s">
        <v>405</v>
      </c>
      <c r="C62" s="323">
        <v>2025</v>
      </c>
      <c r="D62" s="323">
        <v>2030</v>
      </c>
      <c r="E62" s="439"/>
      <c r="F62" s="136" t="s">
        <v>455</v>
      </c>
      <c r="G62" s="163" t="s">
        <v>429</v>
      </c>
      <c r="H62" s="133">
        <v>7</v>
      </c>
      <c r="I62" s="133">
        <v>1976</v>
      </c>
      <c r="J62" s="133">
        <v>300</v>
      </c>
      <c r="K62" s="133">
        <f t="shared" si="0"/>
        <v>25</v>
      </c>
      <c r="L62" s="134">
        <f t="shared" si="1"/>
        <v>25</v>
      </c>
      <c r="M62" s="134">
        <f t="shared" si="2"/>
        <v>49</v>
      </c>
      <c r="N62" s="135">
        <f t="shared" si="3"/>
        <v>1.96</v>
      </c>
      <c r="Q62" s="124">
        <f t="shared" si="4"/>
        <v>56</v>
      </c>
    </row>
    <row r="63" spans="1:17" s="169" customFormat="1" ht="25.5" x14ac:dyDescent="0.2">
      <c r="A63" s="436"/>
      <c r="B63" s="324" t="s">
        <v>405</v>
      </c>
      <c r="C63" s="323">
        <v>2025</v>
      </c>
      <c r="D63" s="323">
        <v>2030</v>
      </c>
      <c r="E63" s="439"/>
      <c r="F63" s="136" t="s">
        <v>456</v>
      </c>
      <c r="G63" s="163"/>
      <c r="H63" s="133">
        <v>1</v>
      </c>
      <c r="I63" s="133">
        <v>1976</v>
      </c>
      <c r="J63" s="133">
        <v>300</v>
      </c>
      <c r="K63" s="133">
        <f>J63/12</f>
        <v>25</v>
      </c>
      <c r="L63" s="134">
        <f>J63/12</f>
        <v>25</v>
      </c>
      <c r="M63" s="134">
        <f>O$3-I63</f>
        <v>49</v>
      </c>
      <c r="N63" s="135">
        <f t="shared" si="3"/>
        <v>1.96</v>
      </c>
      <c r="Q63" s="124">
        <f t="shared" si="4"/>
        <v>57</v>
      </c>
    </row>
    <row r="64" spans="1:17" s="167" customFormat="1" ht="25.5" x14ac:dyDescent="0.2">
      <c r="A64" s="436"/>
      <c r="B64" s="324" t="s">
        <v>405</v>
      </c>
      <c r="C64" s="323">
        <v>2025</v>
      </c>
      <c r="D64" s="323">
        <v>2030</v>
      </c>
      <c r="E64" s="439"/>
      <c r="F64" s="136" t="s">
        <v>457</v>
      </c>
      <c r="G64" s="163" t="s">
        <v>429</v>
      </c>
      <c r="H64" s="133">
        <v>4</v>
      </c>
      <c r="I64" s="133">
        <v>1976</v>
      </c>
      <c r="J64" s="133">
        <v>300</v>
      </c>
      <c r="K64" s="133">
        <f t="shared" si="0"/>
        <v>25</v>
      </c>
      <c r="L64" s="134">
        <f t="shared" si="1"/>
        <v>25</v>
      </c>
      <c r="M64" s="134">
        <f t="shared" si="2"/>
        <v>49</v>
      </c>
      <c r="N64" s="135">
        <f t="shared" si="3"/>
        <v>1.96</v>
      </c>
      <c r="Q64" s="124">
        <f t="shared" si="4"/>
        <v>58</v>
      </c>
    </row>
    <row r="65" spans="1:17" s="167" customFormat="1" ht="27" customHeight="1" x14ac:dyDescent="0.2">
      <c r="A65" s="436"/>
      <c r="B65" s="358" t="s">
        <v>405</v>
      </c>
      <c r="C65" s="356">
        <v>2025</v>
      </c>
      <c r="D65" s="356">
        <v>2030</v>
      </c>
      <c r="E65" s="439"/>
      <c r="F65" s="163" t="s">
        <v>458</v>
      </c>
      <c r="G65" s="163" t="s">
        <v>429</v>
      </c>
      <c r="H65" s="133">
        <v>10</v>
      </c>
      <c r="I65" s="133">
        <v>1976</v>
      </c>
      <c r="J65" s="133">
        <v>360</v>
      </c>
      <c r="K65" s="133">
        <f t="shared" si="0"/>
        <v>30</v>
      </c>
      <c r="L65" s="134">
        <f t="shared" si="1"/>
        <v>30</v>
      </c>
      <c r="M65" s="134">
        <f t="shared" si="2"/>
        <v>49</v>
      </c>
      <c r="N65" s="135">
        <f t="shared" si="3"/>
        <v>1.6333333333333333</v>
      </c>
      <c r="Q65" s="124">
        <f t="shared" si="4"/>
        <v>59</v>
      </c>
    </row>
    <row r="66" spans="1:17" s="169" customFormat="1" ht="35.25" customHeight="1" thickBot="1" x14ac:dyDescent="0.25">
      <c r="A66" s="437"/>
      <c r="B66" s="352" t="s">
        <v>405</v>
      </c>
      <c r="C66" s="357">
        <v>2025</v>
      </c>
      <c r="D66" s="357">
        <v>2030</v>
      </c>
      <c r="E66" s="440"/>
      <c r="F66" s="157" t="s">
        <v>459</v>
      </c>
      <c r="G66" s="157" t="s">
        <v>429</v>
      </c>
      <c r="H66" s="140">
        <v>10</v>
      </c>
      <c r="I66" s="140">
        <v>1976</v>
      </c>
      <c r="J66" s="140">
        <v>360</v>
      </c>
      <c r="K66" s="140">
        <f t="shared" si="0"/>
        <v>30</v>
      </c>
      <c r="L66" s="141">
        <f t="shared" si="1"/>
        <v>30</v>
      </c>
      <c r="M66" s="141">
        <f t="shared" si="2"/>
        <v>49</v>
      </c>
      <c r="N66" s="142">
        <f t="shared" si="3"/>
        <v>1.6333333333333333</v>
      </c>
      <c r="Q66" s="124">
        <f t="shared" si="4"/>
        <v>60</v>
      </c>
    </row>
    <row r="67" spans="1:17" s="166" customFormat="1" ht="42.75" customHeight="1" x14ac:dyDescent="0.2">
      <c r="A67" s="435" t="s">
        <v>460</v>
      </c>
      <c r="B67" s="321" t="s">
        <v>398</v>
      </c>
      <c r="C67" s="323">
        <v>2025</v>
      </c>
      <c r="D67" s="323">
        <v>2030</v>
      </c>
      <c r="E67" s="438" t="s">
        <v>461</v>
      </c>
      <c r="F67" s="215" t="s">
        <v>709</v>
      </c>
      <c r="G67" s="144" t="s">
        <v>710</v>
      </c>
      <c r="H67" s="154">
        <v>1</v>
      </c>
      <c r="I67" s="154">
        <v>2025</v>
      </c>
      <c r="J67" s="154">
        <v>300</v>
      </c>
      <c r="K67" s="154">
        <f t="shared" si="0"/>
        <v>25</v>
      </c>
      <c r="L67" s="155">
        <f t="shared" si="1"/>
        <v>25</v>
      </c>
      <c r="M67" s="155">
        <f t="shared" si="2"/>
        <v>0</v>
      </c>
      <c r="N67" s="156">
        <f t="shared" si="3"/>
        <v>0</v>
      </c>
      <c r="Q67" s="124">
        <f t="shared" si="4"/>
        <v>61</v>
      </c>
    </row>
    <row r="68" spans="1:17" s="166" customFormat="1" ht="26.25" customHeight="1" x14ac:dyDescent="0.2">
      <c r="A68" s="436"/>
      <c r="B68" s="324" t="s">
        <v>398</v>
      </c>
      <c r="C68" s="323">
        <v>2025</v>
      </c>
      <c r="D68" s="323">
        <v>2030</v>
      </c>
      <c r="E68" s="439"/>
      <c r="F68" s="215" t="s">
        <v>708</v>
      </c>
      <c r="G68" s="128" t="s">
        <v>711</v>
      </c>
      <c r="H68" s="133">
        <v>1</v>
      </c>
      <c r="I68" s="133">
        <v>2025</v>
      </c>
      <c r="J68" s="133">
        <v>300</v>
      </c>
      <c r="K68" s="133">
        <f>J68/12</f>
        <v>25</v>
      </c>
      <c r="L68" s="134">
        <f>J68/12</f>
        <v>25</v>
      </c>
      <c r="M68" s="134">
        <f>O$3-I68</f>
        <v>0</v>
      </c>
      <c r="N68" s="135">
        <f t="shared" si="3"/>
        <v>0</v>
      </c>
      <c r="Q68" s="124">
        <f t="shared" si="4"/>
        <v>62</v>
      </c>
    </row>
    <row r="69" spans="1:17" s="167" customFormat="1" ht="25.5" x14ac:dyDescent="0.2">
      <c r="A69" s="436"/>
      <c r="B69" s="324" t="s">
        <v>712</v>
      </c>
      <c r="C69" s="323">
        <v>2025</v>
      </c>
      <c r="D69" s="323">
        <v>2030</v>
      </c>
      <c r="E69" s="439"/>
      <c r="F69" s="136" t="s">
        <v>462</v>
      </c>
      <c r="G69" s="163" t="s">
        <v>429</v>
      </c>
      <c r="H69" s="133">
        <v>3</v>
      </c>
      <c r="I69" s="133">
        <v>1989</v>
      </c>
      <c r="J69" s="133">
        <v>300</v>
      </c>
      <c r="K69" s="133">
        <f t="shared" si="0"/>
        <v>25</v>
      </c>
      <c r="L69" s="134">
        <f t="shared" si="1"/>
        <v>25</v>
      </c>
      <c r="M69" s="134">
        <f t="shared" si="2"/>
        <v>36</v>
      </c>
      <c r="N69" s="135">
        <f t="shared" si="3"/>
        <v>1.44</v>
      </c>
      <c r="Q69" s="124">
        <f t="shared" si="4"/>
        <v>63</v>
      </c>
    </row>
    <row r="70" spans="1:17" s="167" customFormat="1" ht="25.5" x14ac:dyDescent="0.2">
      <c r="A70" s="436"/>
      <c r="B70" s="324" t="s">
        <v>712</v>
      </c>
      <c r="C70" s="323">
        <v>2025</v>
      </c>
      <c r="D70" s="323">
        <v>2030</v>
      </c>
      <c r="E70" s="439"/>
      <c r="F70" s="136" t="s">
        <v>463</v>
      </c>
      <c r="G70" s="163" t="s">
        <v>429</v>
      </c>
      <c r="H70" s="133">
        <v>4</v>
      </c>
      <c r="I70" s="133">
        <v>1989</v>
      </c>
      <c r="J70" s="133">
        <v>300</v>
      </c>
      <c r="K70" s="133">
        <f t="shared" si="0"/>
        <v>25</v>
      </c>
      <c r="L70" s="134">
        <f t="shared" si="1"/>
        <v>25</v>
      </c>
      <c r="M70" s="134">
        <f t="shared" si="2"/>
        <v>36</v>
      </c>
      <c r="N70" s="135">
        <f t="shared" si="3"/>
        <v>1.44</v>
      </c>
      <c r="Q70" s="124">
        <f t="shared" si="4"/>
        <v>64</v>
      </c>
    </row>
    <row r="71" spans="1:17" s="167" customFormat="1" ht="32.25" customHeight="1" thickBot="1" x14ac:dyDescent="0.25">
      <c r="A71" s="437"/>
      <c r="B71" s="352" t="s">
        <v>412</v>
      </c>
      <c r="C71" s="138">
        <v>2025</v>
      </c>
      <c r="D71" s="138">
        <v>2030</v>
      </c>
      <c r="E71" s="440"/>
      <c r="F71" s="353" t="s">
        <v>464</v>
      </c>
      <c r="G71" s="157" t="s">
        <v>429</v>
      </c>
      <c r="H71" s="140" t="s">
        <v>451</v>
      </c>
      <c r="I71" s="140">
        <v>1989</v>
      </c>
      <c r="J71" s="140">
        <v>360</v>
      </c>
      <c r="K71" s="140">
        <f t="shared" ref="K71:K107" si="11">J71/12</f>
        <v>30</v>
      </c>
      <c r="L71" s="141">
        <f t="shared" ref="L71:L99" si="12">J71/12</f>
        <v>30</v>
      </c>
      <c r="M71" s="141">
        <f t="shared" ref="M71:M99" si="13">O$3-I71</f>
        <v>36</v>
      </c>
      <c r="N71" s="142">
        <f t="shared" ref="N71:N110" si="14">M71/K71</f>
        <v>1.2</v>
      </c>
      <c r="Q71" s="124">
        <f t="shared" si="4"/>
        <v>65</v>
      </c>
    </row>
    <row r="72" spans="1:17" s="166" customFormat="1" ht="22.5" customHeight="1" x14ac:dyDescent="0.2">
      <c r="A72" s="435" t="s">
        <v>465</v>
      </c>
      <c r="B72" s="143" t="s">
        <v>421</v>
      </c>
      <c r="C72" s="349">
        <v>2025</v>
      </c>
      <c r="D72" s="349">
        <v>2030</v>
      </c>
      <c r="E72" s="438" t="s">
        <v>466</v>
      </c>
      <c r="F72" s="144" t="s">
        <v>467</v>
      </c>
      <c r="G72" s="144">
        <v>7532190</v>
      </c>
      <c r="H72" s="154">
        <v>1</v>
      </c>
      <c r="I72" s="154">
        <v>1976</v>
      </c>
      <c r="J72" s="154">
        <v>300</v>
      </c>
      <c r="K72" s="154">
        <f t="shared" si="11"/>
        <v>25</v>
      </c>
      <c r="L72" s="155">
        <f t="shared" si="12"/>
        <v>25</v>
      </c>
      <c r="M72" s="155">
        <f t="shared" si="13"/>
        <v>49</v>
      </c>
      <c r="N72" s="156">
        <f t="shared" si="14"/>
        <v>1.96</v>
      </c>
      <c r="Q72" s="124">
        <f t="shared" si="4"/>
        <v>66</v>
      </c>
    </row>
    <row r="73" spans="1:17" s="166" customFormat="1" ht="24.75" customHeight="1" x14ac:dyDescent="0.2">
      <c r="A73" s="436"/>
      <c r="B73" s="126" t="s">
        <v>421</v>
      </c>
      <c r="C73" s="127">
        <v>2025</v>
      </c>
      <c r="D73" s="127">
        <v>2030</v>
      </c>
      <c r="E73" s="439"/>
      <c r="F73" s="128" t="s">
        <v>468</v>
      </c>
      <c r="G73" s="128">
        <v>7532210</v>
      </c>
      <c r="H73" s="133">
        <v>1</v>
      </c>
      <c r="I73" s="133">
        <v>1976</v>
      </c>
      <c r="J73" s="133">
        <v>300</v>
      </c>
      <c r="K73" s="133">
        <f>J73/12</f>
        <v>25</v>
      </c>
      <c r="L73" s="134">
        <f>J73/12</f>
        <v>25</v>
      </c>
      <c r="M73" s="134">
        <f>O$3-I73</f>
        <v>49</v>
      </c>
      <c r="N73" s="135">
        <f t="shared" si="14"/>
        <v>1.96</v>
      </c>
      <c r="Q73" s="124">
        <f t="shared" ref="Q73:Q110" si="15">Q72+1</f>
        <v>67</v>
      </c>
    </row>
    <row r="74" spans="1:17" s="167" customFormat="1" ht="25.5" x14ac:dyDescent="0.2">
      <c r="A74" s="436"/>
      <c r="B74" s="126"/>
      <c r="C74" s="127"/>
      <c r="D74" s="127"/>
      <c r="E74" s="439"/>
      <c r="F74" s="359" t="s">
        <v>469</v>
      </c>
      <c r="G74" s="163" t="s">
        <v>429</v>
      </c>
      <c r="H74" s="133">
        <v>2</v>
      </c>
      <c r="I74" s="133">
        <v>1976</v>
      </c>
      <c r="J74" s="133">
        <v>300</v>
      </c>
      <c r="K74" s="133">
        <f t="shared" si="11"/>
        <v>25</v>
      </c>
      <c r="L74" s="134">
        <f t="shared" si="12"/>
        <v>25</v>
      </c>
      <c r="M74" s="134">
        <f t="shared" si="13"/>
        <v>49</v>
      </c>
      <c r="N74" s="135">
        <f t="shared" si="14"/>
        <v>1.96</v>
      </c>
      <c r="Q74" s="124">
        <f t="shared" si="15"/>
        <v>68</v>
      </c>
    </row>
    <row r="75" spans="1:17" s="167" customFormat="1" ht="25.5" x14ac:dyDescent="0.2">
      <c r="A75" s="436"/>
      <c r="B75" s="126" t="s">
        <v>421</v>
      </c>
      <c r="C75" s="127">
        <v>2025</v>
      </c>
      <c r="D75" s="127">
        <v>2030</v>
      </c>
      <c r="E75" s="439"/>
      <c r="F75" s="136" t="s">
        <v>470</v>
      </c>
      <c r="G75" s="163" t="s">
        <v>429</v>
      </c>
      <c r="H75" s="133">
        <v>6</v>
      </c>
      <c r="I75" s="133">
        <v>1976</v>
      </c>
      <c r="J75" s="133">
        <v>300</v>
      </c>
      <c r="K75" s="133">
        <f t="shared" si="11"/>
        <v>25</v>
      </c>
      <c r="L75" s="134">
        <f t="shared" si="12"/>
        <v>25</v>
      </c>
      <c r="M75" s="134">
        <f t="shared" si="13"/>
        <v>49</v>
      </c>
      <c r="N75" s="135">
        <f t="shared" si="14"/>
        <v>1.96</v>
      </c>
      <c r="Q75" s="124">
        <f t="shared" si="15"/>
        <v>69</v>
      </c>
    </row>
    <row r="76" spans="1:17" s="167" customFormat="1" ht="26.25" customHeight="1" thickBot="1" x14ac:dyDescent="0.25">
      <c r="A76" s="437"/>
      <c r="B76" s="137" t="s">
        <v>421</v>
      </c>
      <c r="C76" s="138">
        <v>2025</v>
      </c>
      <c r="D76" s="138">
        <v>2030</v>
      </c>
      <c r="E76" s="440"/>
      <c r="F76" s="152" t="s">
        <v>471</v>
      </c>
      <c r="G76" s="157" t="s">
        <v>429</v>
      </c>
      <c r="H76" s="140" t="s">
        <v>425</v>
      </c>
      <c r="I76" s="140">
        <v>1976</v>
      </c>
      <c r="J76" s="140">
        <v>360</v>
      </c>
      <c r="K76" s="140">
        <f t="shared" si="11"/>
        <v>30</v>
      </c>
      <c r="L76" s="141">
        <f t="shared" si="12"/>
        <v>30</v>
      </c>
      <c r="M76" s="141">
        <f t="shared" si="13"/>
        <v>49</v>
      </c>
      <c r="N76" s="142">
        <f t="shared" si="14"/>
        <v>1.6333333333333333</v>
      </c>
      <c r="Q76" s="124">
        <f t="shared" si="15"/>
        <v>70</v>
      </c>
    </row>
    <row r="77" spans="1:17" s="167" customFormat="1" ht="25.5" x14ac:dyDescent="0.2">
      <c r="A77" s="435" t="s">
        <v>472</v>
      </c>
      <c r="B77" s="360" t="s">
        <v>367</v>
      </c>
      <c r="C77" s="361">
        <v>2025</v>
      </c>
      <c r="D77" s="361">
        <v>2030</v>
      </c>
      <c r="E77" s="438" t="s">
        <v>473</v>
      </c>
      <c r="F77" s="168" t="s">
        <v>474</v>
      </c>
      <c r="G77" s="170" t="s">
        <v>429</v>
      </c>
      <c r="H77" s="154">
        <v>1</v>
      </c>
      <c r="I77" s="154">
        <v>1975</v>
      </c>
      <c r="J77" s="154">
        <v>300</v>
      </c>
      <c r="K77" s="154">
        <f t="shared" si="11"/>
        <v>25</v>
      </c>
      <c r="L77" s="155">
        <f t="shared" si="12"/>
        <v>25</v>
      </c>
      <c r="M77" s="155">
        <f t="shared" si="13"/>
        <v>50</v>
      </c>
      <c r="N77" s="156">
        <f t="shared" si="14"/>
        <v>2</v>
      </c>
      <c r="Q77" s="124">
        <f t="shared" si="15"/>
        <v>71</v>
      </c>
    </row>
    <row r="78" spans="1:17" s="167" customFormat="1" ht="25.5" x14ac:dyDescent="0.2">
      <c r="A78" s="436"/>
      <c r="B78" s="358" t="s">
        <v>367</v>
      </c>
      <c r="C78" s="356">
        <v>2025</v>
      </c>
      <c r="D78" s="356">
        <v>2030</v>
      </c>
      <c r="E78" s="439"/>
      <c r="F78" s="136" t="s">
        <v>475</v>
      </c>
      <c r="G78" s="163" t="s">
        <v>429</v>
      </c>
      <c r="H78" s="133">
        <v>3</v>
      </c>
      <c r="I78" s="133">
        <v>1975</v>
      </c>
      <c r="J78" s="133">
        <v>300</v>
      </c>
      <c r="K78" s="133">
        <f>J78/12</f>
        <v>25</v>
      </c>
      <c r="L78" s="134">
        <f>J78/12</f>
        <v>25</v>
      </c>
      <c r="M78" s="134">
        <f>O$3-I78</f>
        <v>50</v>
      </c>
      <c r="N78" s="135">
        <f t="shared" si="14"/>
        <v>2</v>
      </c>
      <c r="Q78" s="124">
        <f t="shared" si="15"/>
        <v>72</v>
      </c>
    </row>
    <row r="79" spans="1:17" s="167" customFormat="1" ht="25.5" x14ac:dyDescent="0.2">
      <c r="A79" s="436"/>
      <c r="B79" s="126" t="s">
        <v>421</v>
      </c>
      <c r="C79" s="127">
        <v>2025</v>
      </c>
      <c r="D79" s="127">
        <v>2030</v>
      </c>
      <c r="E79" s="439"/>
      <c r="F79" s="136" t="s">
        <v>476</v>
      </c>
      <c r="G79" s="163" t="s">
        <v>429</v>
      </c>
      <c r="H79" s="133">
        <v>2</v>
      </c>
      <c r="I79" s="133">
        <v>1975</v>
      </c>
      <c r="J79" s="133">
        <v>300</v>
      </c>
      <c r="K79" s="133">
        <f t="shared" si="11"/>
        <v>25</v>
      </c>
      <c r="L79" s="134">
        <f t="shared" si="12"/>
        <v>25</v>
      </c>
      <c r="M79" s="134">
        <f t="shared" si="13"/>
        <v>50</v>
      </c>
      <c r="N79" s="135">
        <f t="shared" si="14"/>
        <v>2</v>
      </c>
      <c r="Q79" s="124">
        <f t="shared" si="15"/>
        <v>73</v>
      </c>
    </row>
    <row r="80" spans="1:17" s="167" customFormat="1" ht="25.5" x14ac:dyDescent="0.2">
      <c r="A80" s="436"/>
      <c r="B80" s="126" t="s">
        <v>421</v>
      </c>
      <c r="C80" s="127">
        <v>2025</v>
      </c>
      <c r="D80" s="127">
        <v>2030</v>
      </c>
      <c r="E80" s="439"/>
      <c r="F80" s="136" t="s">
        <v>477</v>
      </c>
      <c r="G80" s="163" t="s">
        <v>429</v>
      </c>
      <c r="H80" s="133">
        <v>2</v>
      </c>
      <c r="I80" s="133">
        <v>1975</v>
      </c>
      <c r="J80" s="133">
        <v>300</v>
      </c>
      <c r="K80" s="133">
        <f>J80/12</f>
        <v>25</v>
      </c>
      <c r="L80" s="134">
        <f>J80/12</f>
        <v>25</v>
      </c>
      <c r="M80" s="134">
        <f>O$3-I80</f>
        <v>50</v>
      </c>
      <c r="N80" s="135">
        <f t="shared" si="14"/>
        <v>2</v>
      </c>
      <c r="Q80" s="124">
        <f t="shared" si="15"/>
        <v>74</v>
      </c>
    </row>
    <row r="81" spans="1:17" s="167" customFormat="1" ht="25.5" x14ac:dyDescent="0.2">
      <c r="A81" s="436"/>
      <c r="B81" s="126" t="s">
        <v>421</v>
      </c>
      <c r="C81" s="127">
        <v>2025</v>
      </c>
      <c r="D81" s="127">
        <v>2030</v>
      </c>
      <c r="E81" s="439"/>
      <c r="F81" s="136" t="s">
        <v>478</v>
      </c>
      <c r="G81" s="163"/>
      <c r="H81" s="133">
        <v>1</v>
      </c>
      <c r="I81" s="133">
        <v>1975</v>
      </c>
      <c r="J81" s="133">
        <v>300</v>
      </c>
      <c r="K81" s="133">
        <f>J81/12</f>
        <v>25</v>
      </c>
      <c r="L81" s="134">
        <f>J81/12</f>
        <v>25</v>
      </c>
      <c r="M81" s="134">
        <f>O$3-I81</f>
        <v>50</v>
      </c>
      <c r="N81" s="135">
        <f t="shared" si="14"/>
        <v>2</v>
      </c>
      <c r="Q81" s="124">
        <f t="shared" si="15"/>
        <v>75</v>
      </c>
    </row>
    <row r="82" spans="1:17" s="167" customFormat="1" ht="25.5" x14ac:dyDescent="0.2">
      <c r="A82" s="436"/>
      <c r="B82" s="126" t="s">
        <v>421</v>
      </c>
      <c r="C82" s="127">
        <v>2025</v>
      </c>
      <c r="D82" s="127">
        <v>2030</v>
      </c>
      <c r="E82" s="439"/>
      <c r="F82" s="136" t="s">
        <v>479</v>
      </c>
      <c r="G82" s="163"/>
      <c r="H82" s="133">
        <v>1</v>
      </c>
      <c r="I82" s="133">
        <v>1975</v>
      </c>
      <c r="J82" s="133">
        <v>300</v>
      </c>
      <c r="K82" s="133">
        <f>J82/12</f>
        <v>25</v>
      </c>
      <c r="L82" s="134">
        <f>J82/12</f>
        <v>25</v>
      </c>
      <c r="M82" s="134">
        <f>O$3-I82</f>
        <v>50</v>
      </c>
      <c r="N82" s="135">
        <f t="shared" si="14"/>
        <v>2</v>
      </c>
      <c r="Q82" s="124">
        <f t="shared" si="15"/>
        <v>76</v>
      </c>
    </row>
    <row r="83" spans="1:17" s="167" customFormat="1" ht="27" customHeight="1" thickBot="1" x14ac:dyDescent="0.25">
      <c r="A83" s="437"/>
      <c r="B83" s="352" t="s">
        <v>367</v>
      </c>
      <c r="C83" s="356">
        <v>2025</v>
      </c>
      <c r="D83" s="356">
        <v>2030</v>
      </c>
      <c r="E83" s="440"/>
      <c r="F83" s="152" t="s">
        <v>480</v>
      </c>
      <c r="G83" s="157" t="s">
        <v>429</v>
      </c>
      <c r="H83" s="140" t="s">
        <v>451</v>
      </c>
      <c r="I83" s="140">
        <v>1975</v>
      </c>
      <c r="J83" s="140">
        <v>360</v>
      </c>
      <c r="K83" s="140">
        <f t="shared" si="11"/>
        <v>30</v>
      </c>
      <c r="L83" s="141">
        <f t="shared" si="12"/>
        <v>30</v>
      </c>
      <c r="M83" s="141">
        <f t="shared" si="13"/>
        <v>50</v>
      </c>
      <c r="N83" s="142">
        <f t="shared" si="14"/>
        <v>1.6666666666666667</v>
      </c>
      <c r="Q83" s="124">
        <f t="shared" si="15"/>
        <v>77</v>
      </c>
    </row>
    <row r="84" spans="1:17" s="169" customFormat="1" ht="25.5" x14ac:dyDescent="0.2">
      <c r="A84" s="435" t="s">
        <v>481</v>
      </c>
      <c r="B84" s="143" t="s">
        <v>426</v>
      </c>
      <c r="C84" s="322">
        <v>2016</v>
      </c>
      <c r="D84" s="322">
        <v>2020</v>
      </c>
      <c r="E84" s="438" t="s">
        <v>482</v>
      </c>
      <c r="F84" s="144" t="s">
        <v>483</v>
      </c>
      <c r="G84" s="144"/>
      <c r="H84" s="154">
        <v>1</v>
      </c>
      <c r="I84" s="154">
        <v>2022</v>
      </c>
      <c r="J84" s="154">
        <v>300</v>
      </c>
      <c r="K84" s="154">
        <f t="shared" si="11"/>
        <v>25</v>
      </c>
      <c r="L84" s="155">
        <f t="shared" si="12"/>
        <v>25</v>
      </c>
      <c r="M84" s="155">
        <f t="shared" si="13"/>
        <v>3</v>
      </c>
      <c r="N84" s="156">
        <f t="shared" si="14"/>
        <v>0.12</v>
      </c>
      <c r="Q84" s="124">
        <f t="shared" si="15"/>
        <v>78</v>
      </c>
    </row>
    <row r="85" spans="1:17" s="169" customFormat="1" ht="25.5" x14ac:dyDescent="0.2">
      <c r="A85" s="436"/>
      <c r="B85" s="126" t="s">
        <v>426</v>
      </c>
      <c r="C85" s="127">
        <v>2016</v>
      </c>
      <c r="D85" s="127">
        <v>2020</v>
      </c>
      <c r="E85" s="439"/>
      <c r="F85" s="128" t="s">
        <v>484</v>
      </c>
      <c r="G85" s="128"/>
      <c r="H85" s="133">
        <v>1</v>
      </c>
      <c r="I85" s="133">
        <v>2022</v>
      </c>
      <c r="J85" s="133">
        <v>300</v>
      </c>
      <c r="K85" s="133">
        <f>J85/12</f>
        <v>25</v>
      </c>
      <c r="L85" s="134">
        <f>J85/12</f>
        <v>25</v>
      </c>
      <c r="M85" s="134">
        <f>O$3-I85</f>
        <v>3</v>
      </c>
      <c r="N85" s="135">
        <f t="shared" si="14"/>
        <v>0.12</v>
      </c>
      <c r="Q85" s="124">
        <f t="shared" si="15"/>
        <v>79</v>
      </c>
    </row>
    <row r="86" spans="1:17" s="169" customFormat="1" ht="25.5" x14ac:dyDescent="0.2">
      <c r="A86" s="436"/>
      <c r="B86" s="126" t="s">
        <v>426</v>
      </c>
      <c r="C86" s="127">
        <v>2016</v>
      </c>
      <c r="D86" s="127">
        <v>2021</v>
      </c>
      <c r="E86" s="439"/>
      <c r="F86" s="136" t="s">
        <v>485</v>
      </c>
      <c r="G86" s="163" t="s">
        <v>429</v>
      </c>
      <c r="H86" s="133">
        <v>4</v>
      </c>
      <c r="I86" s="133">
        <v>1982</v>
      </c>
      <c r="J86" s="133">
        <v>300</v>
      </c>
      <c r="K86" s="133">
        <f t="shared" si="11"/>
        <v>25</v>
      </c>
      <c r="L86" s="134">
        <f t="shared" si="12"/>
        <v>25</v>
      </c>
      <c r="M86" s="134">
        <f t="shared" si="13"/>
        <v>43</v>
      </c>
      <c r="N86" s="135">
        <f t="shared" si="14"/>
        <v>1.72</v>
      </c>
      <c r="Q86" s="124">
        <f t="shared" si="15"/>
        <v>80</v>
      </c>
    </row>
    <row r="87" spans="1:17" s="169" customFormat="1" ht="25.5" x14ac:dyDescent="0.2">
      <c r="A87" s="436"/>
      <c r="B87" s="126" t="s">
        <v>426</v>
      </c>
      <c r="C87" s="127">
        <v>2016</v>
      </c>
      <c r="D87" s="127">
        <v>2021</v>
      </c>
      <c r="E87" s="439"/>
      <c r="F87" s="136" t="s">
        <v>486</v>
      </c>
      <c r="G87" s="163" t="s">
        <v>429</v>
      </c>
      <c r="H87" s="133">
        <v>1</v>
      </c>
      <c r="I87" s="133">
        <v>1982</v>
      </c>
      <c r="J87" s="133">
        <v>300</v>
      </c>
      <c r="K87" s="133">
        <f t="shared" si="11"/>
        <v>25</v>
      </c>
      <c r="L87" s="134">
        <f t="shared" si="12"/>
        <v>25</v>
      </c>
      <c r="M87" s="134">
        <f t="shared" si="13"/>
        <v>43</v>
      </c>
      <c r="N87" s="135">
        <f t="shared" si="14"/>
        <v>1.72</v>
      </c>
      <c r="Q87" s="124">
        <f t="shared" si="15"/>
        <v>81</v>
      </c>
    </row>
    <row r="88" spans="1:17" s="169" customFormat="1" ht="25.5" x14ac:dyDescent="0.2">
      <c r="A88" s="436"/>
      <c r="B88" s="126" t="s">
        <v>426</v>
      </c>
      <c r="C88" s="127">
        <v>2016</v>
      </c>
      <c r="D88" s="127">
        <v>2021</v>
      </c>
      <c r="E88" s="439"/>
      <c r="F88" s="136" t="s">
        <v>487</v>
      </c>
      <c r="G88" s="163" t="s">
        <v>429</v>
      </c>
      <c r="H88" s="133">
        <v>1</v>
      </c>
      <c r="I88" s="133">
        <v>1982</v>
      </c>
      <c r="J88" s="133">
        <v>300</v>
      </c>
      <c r="K88" s="133">
        <f>J88/12</f>
        <v>25</v>
      </c>
      <c r="L88" s="134">
        <f>J88/12</f>
        <v>25</v>
      </c>
      <c r="M88" s="134">
        <f>O$3-I88</f>
        <v>43</v>
      </c>
      <c r="N88" s="135">
        <f t="shared" si="14"/>
        <v>1.72</v>
      </c>
      <c r="Q88" s="124">
        <f t="shared" si="15"/>
        <v>82</v>
      </c>
    </row>
    <row r="89" spans="1:17" s="169" customFormat="1" ht="25.5" x14ac:dyDescent="0.2">
      <c r="A89" s="436"/>
      <c r="B89" s="126" t="s">
        <v>426</v>
      </c>
      <c r="C89" s="127">
        <v>2016</v>
      </c>
      <c r="D89" s="127">
        <v>2021</v>
      </c>
      <c r="E89" s="439"/>
      <c r="F89" s="136" t="s">
        <v>488</v>
      </c>
      <c r="G89" s="163" t="s">
        <v>429</v>
      </c>
      <c r="H89" s="133">
        <v>2</v>
      </c>
      <c r="I89" s="133">
        <v>1982</v>
      </c>
      <c r="J89" s="133">
        <v>300</v>
      </c>
      <c r="K89" s="133">
        <f>J89/12</f>
        <v>25</v>
      </c>
      <c r="L89" s="134">
        <f>J89/12</f>
        <v>25</v>
      </c>
      <c r="M89" s="134">
        <f>O$3-I89</f>
        <v>43</v>
      </c>
      <c r="N89" s="135">
        <f t="shared" si="14"/>
        <v>1.72</v>
      </c>
      <c r="Q89" s="124">
        <f t="shared" si="15"/>
        <v>83</v>
      </c>
    </row>
    <row r="90" spans="1:17" s="169" customFormat="1" ht="25.5" x14ac:dyDescent="0.2">
      <c r="A90" s="436"/>
      <c r="B90" s="126" t="s">
        <v>426</v>
      </c>
      <c r="C90" s="127">
        <v>2016</v>
      </c>
      <c r="D90" s="127">
        <v>2021</v>
      </c>
      <c r="E90" s="439"/>
      <c r="F90" s="136" t="s">
        <v>489</v>
      </c>
      <c r="G90" s="163" t="s">
        <v>429</v>
      </c>
      <c r="H90" s="133">
        <v>4</v>
      </c>
      <c r="I90" s="133">
        <v>2017</v>
      </c>
      <c r="J90" s="133">
        <v>300</v>
      </c>
      <c r="K90" s="133">
        <f t="shared" si="11"/>
        <v>25</v>
      </c>
      <c r="L90" s="134">
        <f t="shared" si="12"/>
        <v>25</v>
      </c>
      <c r="M90" s="134">
        <f t="shared" si="13"/>
        <v>8</v>
      </c>
      <c r="N90" s="135">
        <f t="shared" si="14"/>
        <v>0.32</v>
      </c>
      <c r="Q90" s="124">
        <f t="shared" si="15"/>
        <v>84</v>
      </c>
    </row>
    <row r="91" spans="1:17" s="169" customFormat="1" ht="26.25" thickBot="1" x14ac:dyDescent="0.25">
      <c r="A91" s="437"/>
      <c r="B91" s="137" t="s">
        <v>426</v>
      </c>
      <c r="C91" s="138">
        <v>2016</v>
      </c>
      <c r="D91" s="138">
        <v>2021</v>
      </c>
      <c r="E91" s="440"/>
      <c r="F91" s="152" t="s">
        <v>490</v>
      </c>
      <c r="G91" s="157"/>
      <c r="H91" s="140" t="s">
        <v>425</v>
      </c>
      <c r="I91" s="140">
        <v>1982</v>
      </c>
      <c r="J91" s="140">
        <v>360</v>
      </c>
      <c r="K91" s="140">
        <v>30</v>
      </c>
      <c r="L91" s="141">
        <f>J91/12</f>
        <v>30</v>
      </c>
      <c r="M91" s="141">
        <f>O$3-I91</f>
        <v>43</v>
      </c>
      <c r="N91" s="142">
        <f t="shared" si="14"/>
        <v>1.4333333333333333</v>
      </c>
      <c r="Q91" s="124">
        <f t="shared" si="15"/>
        <v>85</v>
      </c>
    </row>
    <row r="92" spans="1:17" s="166" customFormat="1" ht="25.5" x14ac:dyDescent="0.2">
      <c r="A92" s="435" t="s">
        <v>491</v>
      </c>
      <c r="B92" s="143" t="s">
        <v>421</v>
      </c>
      <c r="C92" s="322">
        <v>2016</v>
      </c>
      <c r="D92" s="322">
        <v>2020</v>
      </c>
      <c r="E92" s="438" t="s">
        <v>492</v>
      </c>
      <c r="F92" s="144" t="s">
        <v>493</v>
      </c>
      <c r="G92" s="144">
        <v>26550</v>
      </c>
      <c r="H92" s="154">
        <v>1</v>
      </c>
      <c r="I92" s="154">
        <v>1984</v>
      </c>
      <c r="J92" s="154">
        <v>300</v>
      </c>
      <c r="K92" s="154">
        <f t="shared" si="11"/>
        <v>25</v>
      </c>
      <c r="L92" s="155">
        <f t="shared" si="12"/>
        <v>25</v>
      </c>
      <c r="M92" s="155">
        <f t="shared" si="13"/>
        <v>41</v>
      </c>
      <c r="N92" s="156">
        <f t="shared" si="14"/>
        <v>1.64</v>
      </c>
      <c r="O92" s="166" t="s">
        <v>494</v>
      </c>
      <c r="Q92" s="124">
        <f t="shared" si="15"/>
        <v>86</v>
      </c>
    </row>
    <row r="93" spans="1:17" s="166" customFormat="1" ht="14.25" x14ac:dyDescent="0.2">
      <c r="A93" s="436"/>
      <c r="B93" s="126" t="s">
        <v>421</v>
      </c>
      <c r="C93" s="127">
        <v>2016</v>
      </c>
      <c r="D93" s="127">
        <v>2020</v>
      </c>
      <c r="E93" s="439"/>
      <c r="F93" s="128" t="s">
        <v>495</v>
      </c>
      <c r="G93" s="128">
        <v>70824</v>
      </c>
      <c r="H93" s="133">
        <v>1</v>
      </c>
      <c r="I93" s="133">
        <v>2009</v>
      </c>
      <c r="J93" s="133">
        <v>300</v>
      </c>
      <c r="K93" s="133">
        <f>J93/12</f>
        <v>25</v>
      </c>
      <c r="L93" s="134">
        <f>J93/12</f>
        <v>25</v>
      </c>
      <c r="M93" s="134">
        <f>O$3-I93</f>
        <v>16</v>
      </c>
      <c r="N93" s="135">
        <f t="shared" si="14"/>
        <v>0.64</v>
      </c>
      <c r="Q93" s="124">
        <f t="shared" si="15"/>
        <v>87</v>
      </c>
    </row>
    <row r="94" spans="1:17" s="166" customFormat="1" ht="25.5" x14ac:dyDescent="0.2">
      <c r="A94" s="436"/>
      <c r="B94" s="126" t="s">
        <v>421</v>
      </c>
      <c r="C94" s="127">
        <v>2016</v>
      </c>
      <c r="D94" s="127">
        <v>2021</v>
      </c>
      <c r="E94" s="439"/>
      <c r="F94" s="136" t="s">
        <v>496</v>
      </c>
      <c r="G94" s="163"/>
      <c r="H94" s="133">
        <v>4</v>
      </c>
      <c r="I94" s="133">
        <v>1984</v>
      </c>
      <c r="J94" s="133">
        <v>300</v>
      </c>
      <c r="K94" s="133">
        <f t="shared" si="11"/>
        <v>25</v>
      </c>
      <c r="L94" s="134">
        <f t="shared" si="12"/>
        <v>25</v>
      </c>
      <c r="M94" s="134">
        <f t="shared" si="13"/>
        <v>41</v>
      </c>
      <c r="N94" s="135">
        <f t="shared" si="14"/>
        <v>1.64</v>
      </c>
      <c r="Q94" s="124">
        <f t="shared" si="15"/>
        <v>88</v>
      </c>
    </row>
    <row r="95" spans="1:17" s="166" customFormat="1" ht="25.5" x14ac:dyDescent="0.2">
      <c r="A95" s="436"/>
      <c r="B95" s="126" t="s">
        <v>421</v>
      </c>
      <c r="C95" s="127">
        <v>2016</v>
      </c>
      <c r="D95" s="127">
        <v>2021</v>
      </c>
      <c r="E95" s="439"/>
      <c r="F95" s="136" t="s">
        <v>497</v>
      </c>
      <c r="G95" s="163"/>
      <c r="H95" s="133">
        <v>2</v>
      </c>
      <c r="I95" s="133">
        <v>1984</v>
      </c>
      <c r="J95" s="133">
        <v>300</v>
      </c>
      <c r="K95" s="133">
        <f>J95/12</f>
        <v>25</v>
      </c>
      <c r="L95" s="134">
        <f>J95/12</f>
        <v>25</v>
      </c>
      <c r="M95" s="134">
        <f>O$3-I95</f>
        <v>41</v>
      </c>
      <c r="N95" s="135">
        <f t="shared" si="14"/>
        <v>1.64</v>
      </c>
      <c r="Q95" s="124">
        <f t="shared" si="15"/>
        <v>89</v>
      </c>
    </row>
    <row r="96" spans="1:17" s="166" customFormat="1" ht="25.5" x14ac:dyDescent="0.2">
      <c r="A96" s="436"/>
      <c r="B96" s="126" t="s">
        <v>421</v>
      </c>
      <c r="C96" s="127">
        <v>2016</v>
      </c>
      <c r="D96" s="127">
        <v>2021</v>
      </c>
      <c r="E96" s="439"/>
      <c r="F96" s="136" t="s">
        <v>498</v>
      </c>
      <c r="G96" s="163"/>
      <c r="H96" s="133">
        <v>2</v>
      </c>
      <c r="I96" s="133">
        <v>1984</v>
      </c>
      <c r="J96" s="133">
        <v>300</v>
      </c>
      <c r="K96" s="133">
        <f>J96/12</f>
        <v>25</v>
      </c>
      <c r="L96" s="134">
        <f>J96/12</f>
        <v>25</v>
      </c>
      <c r="M96" s="134">
        <f>O$3-I96</f>
        <v>41</v>
      </c>
      <c r="N96" s="135">
        <f t="shared" si="14"/>
        <v>1.64</v>
      </c>
      <c r="Q96" s="124">
        <f t="shared" si="15"/>
        <v>90</v>
      </c>
    </row>
    <row r="97" spans="1:17" s="166" customFormat="1" ht="25.5" x14ac:dyDescent="0.2">
      <c r="A97" s="436"/>
      <c r="B97" s="126" t="s">
        <v>421</v>
      </c>
      <c r="C97" s="127">
        <v>2016</v>
      </c>
      <c r="D97" s="127">
        <v>2021</v>
      </c>
      <c r="E97" s="439"/>
      <c r="F97" s="136" t="s">
        <v>499</v>
      </c>
      <c r="G97" s="163"/>
      <c r="H97" s="133">
        <v>2</v>
      </c>
      <c r="I97" s="133">
        <v>1984</v>
      </c>
      <c r="J97" s="133">
        <v>300</v>
      </c>
      <c r="K97" s="133">
        <f>J97/12</f>
        <v>25</v>
      </c>
      <c r="L97" s="134">
        <f>J97/12</f>
        <v>25</v>
      </c>
      <c r="M97" s="134">
        <f>O$3-I97</f>
        <v>41</v>
      </c>
      <c r="N97" s="135">
        <f t="shared" si="14"/>
        <v>1.64</v>
      </c>
      <c r="Q97" s="124">
        <f t="shared" si="15"/>
        <v>91</v>
      </c>
    </row>
    <row r="98" spans="1:17" s="166" customFormat="1" ht="25.5" x14ac:dyDescent="0.2">
      <c r="A98" s="436"/>
      <c r="B98" s="126" t="s">
        <v>421</v>
      </c>
      <c r="C98" s="127">
        <v>2016</v>
      </c>
      <c r="D98" s="127">
        <v>2021</v>
      </c>
      <c r="E98" s="439"/>
      <c r="F98" s="136" t="s">
        <v>500</v>
      </c>
      <c r="G98" s="163"/>
      <c r="H98" s="133">
        <v>1</v>
      </c>
      <c r="I98" s="133">
        <v>1984</v>
      </c>
      <c r="J98" s="133">
        <v>300</v>
      </c>
      <c r="K98" s="133">
        <f>J98/12</f>
        <v>25</v>
      </c>
      <c r="L98" s="134">
        <f>J98/12</f>
        <v>25</v>
      </c>
      <c r="M98" s="134">
        <f>O$3-I98</f>
        <v>41</v>
      </c>
      <c r="N98" s="135">
        <f t="shared" si="14"/>
        <v>1.64</v>
      </c>
      <c r="Q98" s="124">
        <f t="shared" si="15"/>
        <v>92</v>
      </c>
    </row>
    <row r="99" spans="1:17" s="166" customFormat="1" ht="23.25" customHeight="1" x14ac:dyDescent="0.2">
      <c r="A99" s="436"/>
      <c r="B99" s="126" t="s">
        <v>421</v>
      </c>
      <c r="C99" s="127">
        <v>2016</v>
      </c>
      <c r="D99" s="127">
        <v>2021</v>
      </c>
      <c r="E99" s="439"/>
      <c r="F99" s="136" t="s">
        <v>501</v>
      </c>
      <c r="G99" s="163"/>
      <c r="H99" s="133">
        <v>20</v>
      </c>
      <c r="I99" s="133">
        <v>1984</v>
      </c>
      <c r="J99" s="133">
        <v>360</v>
      </c>
      <c r="K99" s="133">
        <f t="shared" si="11"/>
        <v>30</v>
      </c>
      <c r="L99" s="134">
        <f t="shared" si="12"/>
        <v>30</v>
      </c>
      <c r="M99" s="134">
        <f t="shared" si="13"/>
        <v>41</v>
      </c>
      <c r="N99" s="135">
        <f t="shared" si="14"/>
        <v>1.3666666666666667</v>
      </c>
      <c r="Q99" s="124">
        <f t="shared" si="15"/>
        <v>93</v>
      </c>
    </row>
    <row r="100" spans="1:17" s="166" customFormat="1" ht="25.5" customHeight="1" thickBot="1" x14ac:dyDescent="0.25">
      <c r="A100" s="437"/>
      <c r="B100" s="137" t="s">
        <v>421</v>
      </c>
      <c r="C100" s="138">
        <v>2016</v>
      </c>
      <c r="D100" s="138">
        <v>2021</v>
      </c>
      <c r="E100" s="440"/>
      <c r="F100" s="152" t="s">
        <v>502</v>
      </c>
      <c r="G100" s="157"/>
      <c r="H100" s="140">
        <v>20</v>
      </c>
      <c r="I100" s="140">
        <v>1984</v>
      </c>
      <c r="J100" s="140">
        <v>360</v>
      </c>
      <c r="K100" s="140">
        <f>J100/12</f>
        <v>30</v>
      </c>
      <c r="L100" s="141">
        <f>J100/12</f>
        <v>30</v>
      </c>
      <c r="M100" s="141">
        <f>O$3-I100</f>
        <v>41</v>
      </c>
      <c r="N100" s="142">
        <f t="shared" si="14"/>
        <v>1.3666666666666667</v>
      </c>
      <c r="Q100" s="124">
        <f t="shared" si="15"/>
        <v>94</v>
      </c>
    </row>
    <row r="101" spans="1:17" s="166" customFormat="1" ht="25.5" x14ac:dyDescent="0.2">
      <c r="A101" s="435" t="s">
        <v>503</v>
      </c>
      <c r="B101" s="143" t="s">
        <v>421</v>
      </c>
      <c r="C101" s="322">
        <v>2025</v>
      </c>
      <c r="D101" s="322">
        <v>2030</v>
      </c>
      <c r="E101" s="438" t="s">
        <v>504</v>
      </c>
      <c r="F101" s="144" t="s">
        <v>716</v>
      </c>
      <c r="G101" s="144">
        <v>250974</v>
      </c>
      <c r="H101" s="154">
        <v>1</v>
      </c>
      <c r="I101" s="154">
        <v>2025</v>
      </c>
      <c r="J101" s="154">
        <v>300</v>
      </c>
      <c r="K101" s="154">
        <f t="shared" si="11"/>
        <v>25</v>
      </c>
      <c r="L101" s="155">
        <f t="shared" ref="L101:L107" si="16">J101/12</f>
        <v>25</v>
      </c>
      <c r="M101" s="155">
        <f t="shared" ref="M101:M107" si="17">O$3-I101</f>
        <v>0</v>
      </c>
      <c r="N101" s="156">
        <f t="shared" si="14"/>
        <v>0</v>
      </c>
      <c r="Q101" s="124">
        <f t="shared" si="15"/>
        <v>95</v>
      </c>
    </row>
    <row r="102" spans="1:17" s="166" customFormat="1" ht="34.5" customHeight="1" x14ac:dyDescent="0.2">
      <c r="A102" s="436"/>
      <c r="B102" s="126" t="s">
        <v>421</v>
      </c>
      <c r="C102" s="127">
        <v>2016</v>
      </c>
      <c r="D102" s="127">
        <v>2020</v>
      </c>
      <c r="E102" s="439"/>
      <c r="F102" s="128" t="s">
        <v>717</v>
      </c>
      <c r="G102" s="128"/>
      <c r="H102" s="133">
        <v>1</v>
      </c>
      <c r="I102" s="133">
        <v>1986</v>
      </c>
      <c r="J102" s="133">
        <v>300</v>
      </c>
      <c r="K102" s="133">
        <f>J102/12</f>
        <v>25</v>
      </c>
      <c r="L102" s="134">
        <f>J102/12</f>
        <v>25</v>
      </c>
      <c r="M102" s="134">
        <f>O$3-I102</f>
        <v>39</v>
      </c>
      <c r="N102" s="135">
        <f t="shared" si="14"/>
        <v>1.56</v>
      </c>
      <c r="Q102" s="124">
        <f t="shared" si="15"/>
        <v>96</v>
      </c>
    </row>
    <row r="103" spans="1:17" s="166" customFormat="1" ht="25.5" x14ac:dyDescent="0.2">
      <c r="A103" s="436"/>
      <c r="B103" s="126" t="s">
        <v>421</v>
      </c>
      <c r="C103" s="127">
        <v>2016</v>
      </c>
      <c r="D103" s="127">
        <v>2021</v>
      </c>
      <c r="E103" s="439"/>
      <c r="F103" s="136" t="s">
        <v>505</v>
      </c>
      <c r="G103" s="163" t="s">
        <v>429</v>
      </c>
      <c r="H103" s="133">
        <v>2</v>
      </c>
      <c r="I103" s="133">
        <v>1986</v>
      </c>
      <c r="J103" s="133">
        <v>300</v>
      </c>
      <c r="K103" s="133">
        <f>J103/12</f>
        <v>25</v>
      </c>
      <c r="L103" s="134">
        <f>J103/12</f>
        <v>25</v>
      </c>
      <c r="M103" s="134">
        <f>O$3-I103</f>
        <v>39</v>
      </c>
      <c r="N103" s="135">
        <f t="shared" si="14"/>
        <v>1.56</v>
      </c>
      <c r="Q103" s="124">
        <f t="shared" si="15"/>
        <v>97</v>
      </c>
    </row>
    <row r="104" spans="1:17" s="166" customFormat="1" ht="25.5" x14ac:dyDescent="0.2">
      <c r="A104" s="436"/>
      <c r="B104" s="126" t="s">
        <v>421</v>
      </c>
      <c r="C104" s="127">
        <v>2016</v>
      </c>
      <c r="D104" s="127">
        <v>2021</v>
      </c>
      <c r="E104" s="439"/>
      <c r="F104" s="136" t="s">
        <v>506</v>
      </c>
      <c r="G104" s="163"/>
      <c r="H104" s="133">
        <v>2</v>
      </c>
      <c r="I104" s="133">
        <v>1986</v>
      </c>
      <c r="J104" s="133">
        <v>300</v>
      </c>
      <c r="K104" s="133">
        <f t="shared" si="11"/>
        <v>25</v>
      </c>
      <c r="L104" s="134">
        <f t="shared" si="16"/>
        <v>25</v>
      </c>
      <c r="M104" s="134">
        <f t="shared" si="17"/>
        <v>39</v>
      </c>
      <c r="N104" s="135">
        <f t="shared" si="14"/>
        <v>1.56</v>
      </c>
      <c r="Q104" s="124">
        <f t="shared" si="15"/>
        <v>98</v>
      </c>
    </row>
    <row r="105" spans="1:17" s="166" customFormat="1" ht="25.5" x14ac:dyDescent="0.2">
      <c r="A105" s="436"/>
      <c r="B105" s="126" t="s">
        <v>421</v>
      </c>
      <c r="C105" s="127">
        <v>2016</v>
      </c>
      <c r="D105" s="127">
        <v>2021</v>
      </c>
      <c r="E105" s="439"/>
      <c r="F105" s="136" t="s">
        <v>507</v>
      </c>
      <c r="G105" s="163"/>
      <c r="H105" s="133">
        <v>2</v>
      </c>
      <c r="I105" s="133">
        <v>1986</v>
      </c>
      <c r="J105" s="133">
        <v>300</v>
      </c>
      <c r="K105" s="133">
        <f>J105/12</f>
        <v>25</v>
      </c>
      <c r="L105" s="134">
        <f>J105/12</f>
        <v>25</v>
      </c>
      <c r="M105" s="134">
        <f>O$3-I105</f>
        <v>39</v>
      </c>
      <c r="N105" s="135">
        <f t="shared" si="14"/>
        <v>1.56</v>
      </c>
      <c r="Q105" s="124">
        <f t="shared" si="15"/>
        <v>99</v>
      </c>
    </row>
    <row r="106" spans="1:17" s="166" customFormat="1" ht="30.75" customHeight="1" x14ac:dyDescent="0.2">
      <c r="A106" s="436"/>
      <c r="B106" s="126" t="s">
        <v>421</v>
      </c>
      <c r="C106" s="127">
        <v>2016</v>
      </c>
      <c r="D106" s="127">
        <v>2021</v>
      </c>
      <c r="E106" s="439"/>
      <c r="F106" s="136" t="s">
        <v>508</v>
      </c>
      <c r="G106" s="163"/>
      <c r="H106" s="133">
        <v>2</v>
      </c>
      <c r="I106" s="133">
        <v>1986</v>
      </c>
      <c r="J106" s="133">
        <v>300</v>
      </c>
      <c r="K106" s="133">
        <f>J106/12</f>
        <v>25</v>
      </c>
      <c r="L106" s="134">
        <f>J106/12</f>
        <v>25</v>
      </c>
      <c r="M106" s="134">
        <f>O$3-I106</f>
        <v>39</v>
      </c>
      <c r="N106" s="135">
        <f t="shared" si="14"/>
        <v>1.56</v>
      </c>
      <c r="Q106" s="124">
        <f t="shared" si="15"/>
        <v>100</v>
      </c>
    </row>
    <row r="107" spans="1:17" s="166" customFormat="1" ht="28.5" customHeight="1" x14ac:dyDescent="0.2">
      <c r="A107" s="436"/>
      <c r="B107" s="126" t="s">
        <v>421</v>
      </c>
      <c r="C107" s="127">
        <v>2016</v>
      </c>
      <c r="D107" s="127">
        <v>2021</v>
      </c>
      <c r="E107" s="439"/>
      <c r="F107" s="136" t="s">
        <v>509</v>
      </c>
      <c r="G107" s="163"/>
      <c r="H107" s="133">
        <v>20</v>
      </c>
      <c r="I107" s="133">
        <v>1986</v>
      </c>
      <c r="J107" s="133">
        <v>360</v>
      </c>
      <c r="K107" s="133">
        <f t="shared" si="11"/>
        <v>30</v>
      </c>
      <c r="L107" s="134">
        <f t="shared" si="16"/>
        <v>30</v>
      </c>
      <c r="M107" s="134">
        <f t="shared" si="17"/>
        <v>39</v>
      </c>
      <c r="N107" s="135">
        <f t="shared" si="14"/>
        <v>1.3</v>
      </c>
      <c r="Q107" s="124">
        <f t="shared" si="15"/>
        <v>101</v>
      </c>
    </row>
    <row r="108" spans="1:17" s="166" customFormat="1" ht="36" customHeight="1" thickBot="1" x14ac:dyDescent="0.25">
      <c r="A108" s="437"/>
      <c r="B108" s="137" t="s">
        <v>421</v>
      </c>
      <c r="C108" s="138">
        <v>2016</v>
      </c>
      <c r="D108" s="138">
        <v>2021</v>
      </c>
      <c r="E108" s="440"/>
      <c r="F108" s="152" t="s">
        <v>510</v>
      </c>
      <c r="G108" s="157"/>
      <c r="H108" s="140">
        <v>20</v>
      </c>
      <c r="I108" s="140">
        <v>1986</v>
      </c>
      <c r="J108" s="140">
        <v>360</v>
      </c>
      <c r="K108" s="140">
        <f>J108/12</f>
        <v>30</v>
      </c>
      <c r="L108" s="141">
        <f>J108/12</f>
        <v>30</v>
      </c>
      <c r="M108" s="141">
        <f>O$3-I108</f>
        <v>39</v>
      </c>
      <c r="N108" s="142">
        <f t="shared" si="14"/>
        <v>1.3</v>
      </c>
      <c r="Q108" s="124">
        <f t="shared" si="15"/>
        <v>102</v>
      </c>
    </row>
    <row r="109" spans="1:17" s="171" customFormat="1" ht="33.75" customHeight="1" x14ac:dyDescent="0.2">
      <c r="A109" s="435" t="s">
        <v>511</v>
      </c>
      <c r="B109" s="143"/>
      <c r="C109" s="322">
        <v>2021</v>
      </c>
      <c r="D109" s="322">
        <v>2026</v>
      </c>
      <c r="E109" s="438" t="s">
        <v>512</v>
      </c>
      <c r="F109" s="144" t="s">
        <v>513</v>
      </c>
      <c r="G109" s="144"/>
      <c r="H109" s="154">
        <v>1</v>
      </c>
      <c r="I109" s="154">
        <v>1993</v>
      </c>
      <c r="J109" s="154">
        <v>300</v>
      </c>
      <c r="K109" s="154">
        <f>J109/12</f>
        <v>25</v>
      </c>
      <c r="L109" s="155">
        <f>J109/12</f>
        <v>25</v>
      </c>
      <c r="M109" s="155">
        <f>O$3-I109</f>
        <v>32</v>
      </c>
      <c r="N109" s="156">
        <f t="shared" si="14"/>
        <v>1.28</v>
      </c>
      <c r="P109" s="171" t="s">
        <v>514</v>
      </c>
      <c r="Q109" s="124">
        <f t="shared" si="15"/>
        <v>103</v>
      </c>
    </row>
    <row r="110" spans="1:17" s="171" customFormat="1" ht="34.5" customHeight="1" thickBot="1" x14ac:dyDescent="0.25">
      <c r="A110" s="437"/>
      <c r="B110" s="137"/>
      <c r="C110" s="138">
        <v>2021</v>
      </c>
      <c r="D110" s="138">
        <v>2026</v>
      </c>
      <c r="E110" s="440"/>
      <c r="F110" s="152" t="s">
        <v>515</v>
      </c>
      <c r="G110" s="157"/>
      <c r="H110" s="140">
        <v>2</v>
      </c>
      <c r="I110" s="140">
        <v>1993</v>
      </c>
      <c r="J110" s="140">
        <v>300</v>
      </c>
      <c r="K110" s="140">
        <f>J110/12</f>
        <v>25</v>
      </c>
      <c r="L110" s="141">
        <f>J110/12</f>
        <v>25</v>
      </c>
      <c r="M110" s="141">
        <f>O$3-I110</f>
        <v>32</v>
      </c>
      <c r="N110" s="142">
        <f t="shared" si="14"/>
        <v>1.28</v>
      </c>
      <c r="Q110" s="124">
        <f t="shared" si="15"/>
        <v>104</v>
      </c>
    </row>
    <row r="111" spans="1:17" s="171" customFormat="1" ht="12.75" x14ac:dyDescent="0.2">
      <c r="A111" s="172"/>
      <c r="B111" s="172"/>
      <c r="C111" s="173"/>
      <c r="N111" s="174">
        <f>SUM(N6:N110)/104</f>
        <v>2.1974999999999998</v>
      </c>
    </row>
    <row r="112" spans="1:17" s="171" customFormat="1" ht="12.75" x14ac:dyDescent="0.2">
      <c r="A112" s="172"/>
      <c r="B112" s="172"/>
      <c r="C112" s="173"/>
    </row>
    <row r="113" spans="1:3" s="171" customFormat="1" ht="12.75" x14ac:dyDescent="0.2">
      <c r="A113" s="172"/>
      <c r="B113" s="172"/>
      <c r="C113" s="173"/>
    </row>
    <row r="114" spans="1:3" s="171" customFormat="1" ht="12.75" x14ac:dyDescent="0.2">
      <c r="A114" s="172"/>
      <c r="B114" s="172"/>
      <c r="C114" s="173"/>
    </row>
    <row r="115" spans="1:3" s="171" customFormat="1" ht="12.75" x14ac:dyDescent="0.2">
      <c r="A115" s="172"/>
      <c r="B115" s="172"/>
      <c r="C115" s="173"/>
    </row>
    <row r="116" spans="1:3" s="171" customFormat="1" ht="12.75" x14ac:dyDescent="0.2">
      <c r="A116" s="172"/>
      <c r="B116" s="172"/>
      <c r="C116" s="173"/>
    </row>
    <row r="117" spans="1:3" s="171" customFormat="1" ht="12.75" x14ac:dyDescent="0.2">
      <c r="A117" s="172"/>
      <c r="B117" s="172"/>
      <c r="C117" s="173"/>
    </row>
    <row r="118" spans="1:3" s="171" customFormat="1" ht="12.75" x14ac:dyDescent="0.2">
      <c r="A118" s="172"/>
      <c r="B118" s="172"/>
      <c r="C118" s="173"/>
    </row>
    <row r="119" spans="1:3" s="171" customFormat="1" ht="12.75" x14ac:dyDescent="0.2">
      <c r="A119" s="172"/>
      <c r="B119" s="172"/>
      <c r="C119" s="173"/>
    </row>
    <row r="120" spans="1:3" s="171" customFormat="1" ht="12.75" x14ac:dyDescent="0.2">
      <c r="A120" s="172"/>
      <c r="B120" s="172"/>
      <c r="C120" s="173"/>
    </row>
    <row r="121" spans="1:3" s="171" customFormat="1" ht="12.75" x14ac:dyDescent="0.2">
      <c r="A121" s="172"/>
      <c r="B121" s="172"/>
      <c r="C121" s="173"/>
    </row>
    <row r="122" spans="1:3" s="171" customFormat="1" ht="12.75" x14ac:dyDescent="0.2">
      <c r="A122" s="172"/>
      <c r="B122" s="172"/>
      <c r="C122" s="173"/>
    </row>
    <row r="123" spans="1:3" s="171" customFormat="1" ht="12.75" x14ac:dyDescent="0.2">
      <c r="A123" s="172"/>
      <c r="B123" s="172"/>
      <c r="C123" s="173"/>
    </row>
    <row r="124" spans="1:3" s="171" customFormat="1" ht="12.75" x14ac:dyDescent="0.2">
      <c r="A124" s="172"/>
      <c r="B124" s="172"/>
      <c r="C124" s="173"/>
    </row>
    <row r="125" spans="1:3" s="171" customFormat="1" ht="12.75" x14ac:dyDescent="0.2">
      <c r="A125" s="172"/>
      <c r="B125" s="172"/>
      <c r="C125" s="173"/>
    </row>
    <row r="126" spans="1:3" s="171" customFormat="1" ht="12.75" x14ac:dyDescent="0.2">
      <c r="A126" s="172"/>
      <c r="B126" s="172"/>
      <c r="C126" s="173"/>
    </row>
    <row r="127" spans="1:3" s="171" customFormat="1" ht="12.75" x14ac:dyDescent="0.2">
      <c r="A127" s="172"/>
      <c r="B127" s="172"/>
      <c r="C127" s="173"/>
    </row>
    <row r="128" spans="1:3" s="171" customFormat="1" ht="12.75" x14ac:dyDescent="0.2">
      <c r="A128" s="172"/>
      <c r="B128" s="172"/>
      <c r="C128" s="173"/>
    </row>
    <row r="129" spans="1:3" s="171" customFormat="1" ht="12.75" x14ac:dyDescent="0.2">
      <c r="A129" s="172"/>
      <c r="B129" s="172"/>
      <c r="C129" s="173"/>
    </row>
    <row r="130" spans="1:3" s="171" customFormat="1" ht="12.75" x14ac:dyDescent="0.2">
      <c r="A130" s="172"/>
      <c r="B130" s="172"/>
      <c r="C130" s="173"/>
    </row>
    <row r="131" spans="1:3" x14ac:dyDescent="0.25">
      <c r="C131" s="176"/>
    </row>
    <row r="132" spans="1:3" x14ac:dyDescent="0.25">
      <c r="C132" s="176"/>
    </row>
    <row r="133" spans="1:3" x14ac:dyDescent="0.25">
      <c r="C133" s="176"/>
    </row>
    <row r="134" spans="1:3" x14ac:dyDescent="0.25">
      <c r="C134" s="176"/>
    </row>
    <row r="135" spans="1:3" x14ac:dyDescent="0.25">
      <c r="C135" s="176"/>
    </row>
    <row r="136" spans="1:3" x14ac:dyDescent="0.25">
      <c r="C136" s="176"/>
    </row>
    <row r="137" spans="1:3" x14ac:dyDescent="0.25">
      <c r="C137" s="176"/>
    </row>
    <row r="138" spans="1:3" x14ac:dyDescent="0.25">
      <c r="C138" s="176"/>
    </row>
  </sheetData>
  <mergeCells count="61">
    <mergeCell ref="E1:J1"/>
    <mergeCell ref="D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N4:N5"/>
    <mergeCell ref="A11:A12"/>
    <mergeCell ref="E11:E12"/>
    <mergeCell ref="A6:A10"/>
    <mergeCell ref="E6:E10"/>
    <mergeCell ref="A13:A15"/>
    <mergeCell ref="E13:E15"/>
    <mergeCell ref="A16:A17"/>
    <mergeCell ref="E16:E17"/>
    <mergeCell ref="A18:A20"/>
    <mergeCell ref="E18:E20"/>
    <mergeCell ref="A21:A23"/>
    <mergeCell ref="E21:E23"/>
    <mergeCell ref="A24:A27"/>
    <mergeCell ref="E24:E27"/>
    <mergeCell ref="A28:A30"/>
    <mergeCell ref="E28:E30"/>
    <mergeCell ref="A31:A33"/>
    <mergeCell ref="E31:E33"/>
    <mergeCell ref="A34:A39"/>
    <mergeCell ref="E34:E39"/>
    <mergeCell ref="A40:A44"/>
    <mergeCell ref="E40:E44"/>
    <mergeCell ref="A45:A46"/>
    <mergeCell ref="E45:E46"/>
    <mergeCell ref="A47:A51"/>
    <mergeCell ref="E47:E51"/>
    <mergeCell ref="A52:A57"/>
    <mergeCell ref="E52:E57"/>
    <mergeCell ref="A58:A60"/>
    <mergeCell ref="E58:E60"/>
    <mergeCell ref="A61:A66"/>
    <mergeCell ref="E61:E66"/>
    <mergeCell ref="A67:A71"/>
    <mergeCell ref="E67:E71"/>
    <mergeCell ref="A72:A76"/>
    <mergeCell ref="E72:E76"/>
    <mergeCell ref="A77:A83"/>
    <mergeCell ref="E77:E83"/>
    <mergeCell ref="A109:A110"/>
    <mergeCell ref="E109:E110"/>
    <mergeCell ref="A84:A91"/>
    <mergeCell ref="E84:E91"/>
    <mergeCell ref="A92:A100"/>
    <mergeCell ref="E92:E100"/>
    <mergeCell ref="A101:A108"/>
    <mergeCell ref="E101:E10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9CDF-C2B4-4E75-BF70-E062A218451B}">
  <dimension ref="A1:X323"/>
  <sheetViews>
    <sheetView topLeftCell="E1" workbookViewId="0">
      <pane xSplit="1" ySplit="5" topLeftCell="F276" activePane="bottomRight" state="frozen"/>
      <selection activeCell="E1" sqref="E1"/>
      <selection pane="topRight" activeCell="F1" sqref="F1"/>
      <selection pane="bottomLeft" activeCell="E6" sqref="E6"/>
      <selection pane="bottomRight" activeCell="H289" sqref="H289"/>
    </sheetView>
  </sheetViews>
  <sheetFormatPr defaultRowHeight="15" outlineLevelCol="1" x14ac:dyDescent="0.25"/>
  <cols>
    <col min="1" max="1" width="9.42578125" style="175" customWidth="1"/>
    <col min="2" max="2" width="16.5703125" style="175" customWidth="1"/>
    <col min="3" max="3" width="17.42578125" style="123" customWidth="1"/>
    <col min="4" max="4" width="16.5703125" style="118" customWidth="1"/>
    <col min="5" max="5" width="9.85546875" style="118" customWidth="1"/>
    <col min="6" max="6" width="39.5703125" style="118" customWidth="1"/>
    <col min="7" max="7" width="14" style="118" customWidth="1"/>
    <col min="8" max="8" width="18.85546875" style="118" customWidth="1"/>
    <col min="9" max="10" width="10.85546875" style="118" customWidth="1"/>
    <col min="11" max="11" width="10.85546875" style="118" customWidth="1" outlineLevel="1"/>
    <col min="12" max="13" width="10.85546875" style="118" customWidth="1"/>
    <col min="14" max="256" width="9.140625" style="118"/>
    <col min="257" max="257" width="9.42578125" style="118" customWidth="1"/>
    <col min="258" max="258" width="16.5703125" style="118" customWidth="1"/>
    <col min="259" max="259" width="17.42578125" style="118" customWidth="1"/>
    <col min="260" max="260" width="16.5703125" style="118" customWidth="1"/>
    <col min="261" max="261" width="9.85546875" style="118" customWidth="1"/>
    <col min="262" max="262" width="39.5703125" style="118" customWidth="1"/>
    <col min="263" max="263" width="14" style="118" customWidth="1"/>
    <col min="264" max="264" width="18.85546875" style="118" customWidth="1"/>
    <col min="265" max="269" width="10.85546875" style="118" customWidth="1"/>
    <col min="270" max="512" width="9.140625" style="118"/>
    <col min="513" max="513" width="9.42578125" style="118" customWidth="1"/>
    <col min="514" max="514" width="16.5703125" style="118" customWidth="1"/>
    <col min="515" max="515" width="17.42578125" style="118" customWidth="1"/>
    <col min="516" max="516" width="16.5703125" style="118" customWidth="1"/>
    <col min="517" max="517" width="9.85546875" style="118" customWidth="1"/>
    <col min="518" max="518" width="39.5703125" style="118" customWidth="1"/>
    <col min="519" max="519" width="14" style="118" customWidth="1"/>
    <col min="520" max="520" width="18.85546875" style="118" customWidth="1"/>
    <col min="521" max="525" width="10.85546875" style="118" customWidth="1"/>
    <col min="526" max="768" width="9.140625" style="118"/>
    <col min="769" max="769" width="9.42578125" style="118" customWidth="1"/>
    <col min="770" max="770" width="16.5703125" style="118" customWidth="1"/>
    <col min="771" max="771" width="17.42578125" style="118" customWidth="1"/>
    <col min="772" max="772" width="16.5703125" style="118" customWidth="1"/>
    <col min="773" max="773" width="9.85546875" style="118" customWidth="1"/>
    <col min="774" max="774" width="39.5703125" style="118" customWidth="1"/>
    <col min="775" max="775" width="14" style="118" customWidth="1"/>
    <col min="776" max="776" width="18.85546875" style="118" customWidth="1"/>
    <col min="777" max="781" width="10.85546875" style="118" customWidth="1"/>
    <col min="782" max="1024" width="9.140625" style="118"/>
    <col min="1025" max="1025" width="9.42578125" style="118" customWidth="1"/>
    <col min="1026" max="1026" width="16.5703125" style="118" customWidth="1"/>
    <col min="1027" max="1027" width="17.42578125" style="118" customWidth="1"/>
    <col min="1028" max="1028" width="16.5703125" style="118" customWidth="1"/>
    <col min="1029" max="1029" width="9.85546875" style="118" customWidth="1"/>
    <col min="1030" max="1030" width="39.5703125" style="118" customWidth="1"/>
    <col min="1031" max="1031" width="14" style="118" customWidth="1"/>
    <col min="1032" max="1032" width="18.85546875" style="118" customWidth="1"/>
    <col min="1033" max="1037" width="10.85546875" style="118" customWidth="1"/>
    <col min="1038" max="1280" width="9.140625" style="118"/>
    <col min="1281" max="1281" width="9.42578125" style="118" customWidth="1"/>
    <col min="1282" max="1282" width="16.5703125" style="118" customWidth="1"/>
    <col min="1283" max="1283" width="17.42578125" style="118" customWidth="1"/>
    <col min="1284" max="1284" width="16.5703125" style="118" customWidth="1"/>
    <col min="1285" max="1285" width="9.85546875" style="118" customWidth="1"/>
    <col min="1286" max="1286" width="39.5703125" style="118" customWidth="1"/>
    <col min="1287" max="1287" width="14" style="118" customWidth="1"/>
    <col min="1288" max="1288" width="18.85546875" style="118" customWidth="1"/>
    <col min="1289" max="1293" width="10.85546875" style="118" customWidth="1"/>
    <col min="1294" max="1536" width="9.140625" style="118"/>
    <col min="1537" max="1537" width="9.42578125" style="118" customWidth="1"/>
    <col min="1538" max="1538" width="16.5703125" style="118" customWidth="1"/>
    <col min="1539" max="1539" width="17.42578125" style="118" customWidth="1"/>
    <col min="1540" max="1540" width="16.5703125" style="118" customWidth="1"/>
    <col min="1541" max="1541" width="9.85546875" style="118" customWidth="1"/>
    <col min="1542" max="1542" width="39.5703125" style="118" customWidth="1"/>
    <col min="1543" max="1543" width="14" style="118" customWidth="1"/>
    <col min="1544" max="1544" width="18.85546875" style="118" customWidth="1"/>
    <col min="1545" max="1549" width="10.85546875" style="118" customWidth="1"/>
    <col min="1550" max="1792" width="9.140625" style="118"/>
    <col min="1793" max="1793" width="9.42578125" style="118" customWidth="1"/>
    <col min="1794" max="1794" width="16.5703125" style="118" customWidth="1"/>
    <col min="1795" max="1795" width="17.42578125" style="118" customWidth="1"/>
    <col min="1796" max="1796" width="16.5703125" style="118" customWidth="1"/>
    <col min="1797" max="1797" width="9.85546875" style="118" customWidth="1"/>
    <col min="1798" max="1798" width="39.5703125" style="118" customWidth="1"/>
    <col min="1799" max="1799" width="14" style="118" customWidth="1"/>
    <col min="1800" max="1800" width="18.85546875" style="118" customWidth="1"/>
    <col min="1801" max="1805" width="10.85546875" style="118" customWidth="1"/>
    <col min="1806" max="2048" width="9.140625" style="118"/>
    <col min="2049" max="2049" width="9.42578125" style="118" customWidth="1"/>
    <col min="2050" max="2050" width="16.5703125" style="118" customWidth="1"/>
    <col min="2051" max="2051" width="17.42578125" style="118" customWidth="1"/>
    <col min="2052" max="2052" width="16.5703125" style="118" customWidth="1"/>
    <col min="2053" max="2053" width="9.85546875" style="118" customWidth="1"/>
    <col min="2054" max="2054" width="39.5703125" style="118" customWidth="1"/>
    <col min="2055" max="2055" width="14" style="118" customWidth="1"/>
    <col min="2056" max="2056" width="18.85546875" style="118" customWidth="1"/>
    <col min="2057" max="2061" width="10.85546875" style="118" customWidth="1"/>
    <col min="2062" max="2304" width="9.140625" style="118"/>
    <col min="2305" max="2305" width="9.42578125" style="118" customWidth="1"/>
    <col min="2306" max="2306" width="16.5703125" style="118" customWidth="1"/>
    <col min="2307" max="2307" width="17.42578125" style="118" customWidth="1"/>
    <col min="2308" max="2308" width="16.5703125" style="118" customWidth="1"/>
    <col min="2309" max="2309" width="9.85546875" style="118" customWidth="1"/>
    <col min="2310" max="2310" width="39.5703125" style="118" customWidth="1"/>
    <col min="2311" max="2311" width="14" style="118" customWidth="1"/>
    <col min="2312" max="2312" width="18.85546875" style="118" customWidth="1"/>
    <col min="2313" max="2317" width="10.85546875" style="118" customWidth="1"/>
    <col min="2318" max="2560" width="9.140625" style="118"/>
    <col min="2561" max="2561" width="9.42578125" style="118" customWidth="1"/>
    <col min="2562" max="2562" width="16.5703125" style="118" customWidth="1"/>
    <col min="2563" max="2563" width="17.42578125" style="118" customWidth="1"/>
    <col min="2564" max="2564" width="16.5703125" style="118" customWidth="1"/>
    <col min="2565" max="2565" width="9.85546875" style="118" customWidth="1"/>
    <col min="2566" max="2566" width="39.5703125" style="118" customWidth="1"/>
    <col min="2567" max="2567" width="14" style="118" customWidth="1"/>
    <col min="2568" max="2568" width="18.85546875" style="118" customWidth="1"/>
    <col min="2569" max="2573" width="10.85546875" style="118" customWidth="1"/>
    <col min="2574" max="2816" width="9.140625" style="118"/>
    <col min="2817" max="2817" width="9.42578125" style="118" customWidth="1"/>
    <col min="2818" max="2818" width="16.5703125" style="118" customWidth="1"/>
    <col min="2819" max="2819" width="17.42578125" style="118" customWidth="1"/>
    <col min="2820" max="2820" width="16.5703125" style="118" customWidth="1"/>
    <col min="2821" max="2821" width="9.85546875" style="118" customWidth="1"/>
    <col min="2822" max="2822" width="39.5703125" style="118" customWidth="1"/>
    <col min="2823" max="2823" width="14" style="118" customWidth="1"/>
    <col min="2824" max="2824" width="18.85546875" style="118" customWidth="1"/>
    <col min="2825" max="2829" width="10.85546875" style="118" customWidth="1"/>
    <col min="2830" max="3072" width="9.140625" style="118"/>
    <col min="3073" max="3073" width="9.42578125" style="118" customWidth="1"/>
    <col min="3074" max="3074" width="16.5703125" style="118" customWidth="1"/>
    <col min="3075" max="3075" width="17.42578125" style="118" customWidth="1"/>
    <col min="3076" max="3076" width="16.5703125" style="118" customWidth="1"/>
    <col min="3077" max="3077" width="9.85546875" style="118" customWidth="1"/>
    <col min="3078" max="3078" width="39.5703125" style="118" customWidth="1"/>
    <col min="3079" max="3079" width="14" style="118" customWidth="1"/>
    <col min="3080" max="3080" width="18.85546875" style="118" customWidth="1"/>
    <col min="3081" max="3085" width="10.85546875" style="118" customWidth="1"/>
    <col min="3086" max="3328" width="9.140625" style="118"/>
    <col min="3329" max="3329" width="9.42578125" style="118" customWidth="1"/>
    <col min="3330" max="3330" width="16.5703125" style="118" customWidth="1"/>
    <col min="3331" max="3331" width="17.42578125" style="118" customWidth="1"/>
    <col min="3332" max="3332" width="16.5703125" style="118" customWidth="1"/>
    <col min="3333" max="3333" width="9.85546875" style="118" customWidth="1"/>
    <col min="3334" max="3334" width="39.5703125" style="118" customWidth="1"/>
    <col min="3335" max="3335" width="14" style="118" customWidth="1"/>
    <col min="3336" max="3336" width="18.85546875" style="118" customWidth="1"/>
    <col min="3337" max="3341" width="10.85546875" style="118" customWidth="1"/>
    <col min="3342" max="3584" width="9.140625" style="118"/>
    <col min="3585" max="3585" width="9.42578125" style="118" customWidth="1"/>
    <col min="3586" max="3586" width="16.5703125" style="118" customWidth="1"/>
    <col min="3587" max="3587" width="17.42578125" style="118" customWidth="1"/>
    <col min="3588" max="3588" width="16.5703125" style="118" customWidth="1"/>
    <col min="3589" max="3589" width="9.85546875" style="118" customWidth="1"/>
    <col min="3590" max="3590" width="39.5703125" style="118" customWidth="1"/>
    <col min="3591" max="3591" width="14" style="118" customWidth="1"/>
    <col min="3592" max="3592" width="18.85546875" style="118" customWidth="1"/>
    <col min="3593" max="3597" width="10.85546875" style="118" customWidth="1"/>
    <col min="3598" max="3840" width="9.140625" style="118"/>
    <col min="3841" max="3841" width="9.42578125" style="118" customWidth="1"/>
    <col min="3842" max="3842" width="16.5703125" style="118" customWidth="1"/>
    <col min="3843" max="3843" width="17.42578125" style="118" customWidth="1"/>
    <col min="3844" max="3844" width="16.5703125" style="118" customWidth="1"/>
    <col min="3845" max="3845" width="9.85546875" style="118" customWidth="1"/>
    <col min="3846" max="3846" width="39.5703125" style="118" customWidth="1"/>
    <col min="3847" max="3847" width="14" style="118" customWidth="1"/>
    <col min="3848" max="3848" width="18.85546875" style="118" customWidth="1"/>
    <col min="3849" max="3853" width="10.85546875" style="118" customWidth="1"/>
    <col min="3854" max="4096" width="9.140625" style="118"/>
    <col min="4097" max="4097" width="9.42578125" style="118" customWidth="1"/>
    <col min="4098" max="4098" width="16.5703125" style="118" customWidth="1"/>
    <col min="4099" max="4099" width="17.42578125" style="118" customWidth="1"/>
    <col min="4100" max="4100" width="16.5703125" style="118" customWidth="1"/>
    <col min="4101" max="4101" width="9.85546875" style="118" customWidth="1"/>
    <col min="4102" max="4102" width="39.5703125" style="118" customWidth="1"/>
    <col min="4103" max="4103" width="14" style="118" customWidth="1"/>
    <col min="4104" max="4104" width="18.85546875" style="118" customWidth="1"/>
    <col min="4105" max="4109" width="10.85546875" style="118" customWidth="1"/>
    <col min="4110" max="4352" width="9.140625" style="118"/>
    <col min="4353" max="4353" width="9.42578125" style="118" customWidth="1"/>
    <col min="4354" max="4354" width="16.5703125" style="118" customWidth="1"/>
    <col min="4355" max="4355" width="17.42578125" style="118" customWidth="1"/>
    <col min="4356" max="4356" width="16.5703125" style="118" customWidth="1"/>
    <col min="4357" max="4357" width="9.85546875" style="118" customWidth="1"/>
    <col min="4358" max="4358" width="39.5703125" style="118" customWidth="1"/>
    <col min="4359" max="4359" width="14" style="118" customWidth="1"/>
    <col min="4360" max="4360" width="18.85546875" style="118" customWidth="1"/>
    <col min="4361" max="4365" width="10.85546875" style="118" customWidth="1"/>
    <col min="4366" max="4608" width="9.140625" style="118"/>
    <col min="4609" max="4609" width="9.42578125" style="118" customWidth="1"/>
    <col min="4610" max="4610" width="16.5703125" style="118" customWidth="1"/>
    <col min="4611" max="4611" width="17.42578125" style="118" customWidth="1"/>
    <col min="4612" max="4612" width="16.5703125" style="118" customWidth="1"/>
    <col min="4613" max="4613" width="9.85546875" style="118" customWidth="1"/>
    <col min="4614" max="4614" width="39.5703125" style="118" customWidth="1"/>
    <col min="4615" max="4615" width="14" style="118" customWidth="1"/>
    <col min="4616" max="4616" width="18.85546875" style="118" customWidth="1"/>
    <col min="4617" max="4621" width="10.85546875" style="118" customWidth="1"/>
    <col min="4622" max="4864" width="9.140625" style="118"/>
    <col min="4865" max="4865" width="9.42578125" style="118" customWidth="1"/>
    <col min="4866" max="4866" width="16.5703125" style="118" customWidth="1"/>
    <col min="4867" max="4867" width="17.42578125" style="118" customWidth="1"/>
    <col min="4868" max="4868" width="16.5703125" style="118" customWidth="1"/>
    <col min="4869" max="4869" width="9.85546875" style="118" customWidth="1"/>
    <col min="4870" max="4870" width="39.5703125" style="118" customWidth="1"/>
    <col min="4871" max="4871" width="14" style="118" customWidth="1"/>
    <col min="4872" max="4872" width="18.85546875" style="118" customWidth="1"/>
    <col min="4873" max="4877" width="10.85546875" style="118" customWidth="1"/>
    <col min="4878" max="5120" width="9.140625" style="118"/>
    <col min="5121" max="5121" width="9.42578125" style="118" customWidth="1"/>
    <col min="5122" max="5122" width="16.5703125" style="118" customWidth="1"/>
    <col min="5123" max="5123" width="17.42578125" style="118" customWidth="1"/>
    <col min="5124" max="5124" width="16.5703125" style="118" customWidth="1"/>
    <col min="5125" max="5125" width="9.85546875" style="118" customWidth="1"/>
    <col min="5126" max="5126" width="39.5703125" style="118" customWidth="1"/>
    <col min="5127" max="5127" width="14" style="118" customWidth="1"/>
    <col min="5128" max="5128" width="18.85546875" style="118" customWidth="1"/>
    <col min="5129" max="5133" width="10.85546875" style="118" customWidth="1"/>
    <col min="5134" max="5376" width="9.140625" style="118"/>
    <col min="5377" max="5377" width="9.42578125" style="118" customWidth="1"/>
    <col min="5378" max="5378" width="16.5703125" style="118" customWidth="1"/>
    <col min="5379" max="5379" width="17.42578125" style="118" customWidth="1"/>
    <col min="5380" max="5380" width="16.5703125" style="118" customWidth="1"/>
    <col min="5381" max="5381" width="9.85546875" style="118" customWidth="1"/>
    <col min="5382" max="5382" width="39.5703125" style="118" customWidth="1"/>
    <col min="5383" max="5383" width="14" style="118" customWidth="1"/>
    <col min="5384" max="5384" width="18.85546875" style="118" customWidth="1"/>
    <col min="5385" max="5389" width="10.85546875" style="118" customWidth="1"/>
    <col min="5390" max="5632" width="9.140625" style="118"/>
    <col min="5633" max="5633" width="9.42578125" style="118" customWidth="1"/>
    <col min="5634" max="5634" width="16.5703125" style="118" customWidth="1"/>
    <col min="5635" max="5635" width="17.42578125" style="118" customWidth="1"/>
    <col min="5636" max="5636" width="16.5703125" style="118" customWidth="1"/>
    <col min="5637" max="5637" width="9.85546875" style="118" customWidth="1"/>
    <col min="5638" max="5638" width="39.5703125" style="118" customWidth="1"/>
    <col min="5639" max="5639" width="14" style="118" customWidth="1"/>
    <col min="5640" max="5640" width="18.85546875" style="118" customWidth="1"/>
    <col min="5641" max="5645" width="10.85546875" style="118" customWidth="1"/>
    <col min="5646" max="5888" width="9.140625" style="118"/>
    <col min="5889" max="5889" width="9.42578125" style="118" customWidth="1"/>
    <col min="5890" max="5890" width="16.5703125" style="118" customWidth="1"/>
    <col min="5891" max="5891" width="17.42578125" style="118" customWidth="1"/>
    <col min="5892" max="5892" width="16.5703125" style="118" customWidth="1"/>
    <col min="5893" max="5893" width="9.85546875" style="118" customWidth="1"/>
    <col min="5894" max="5894" width="39.5703125" style="118" customWidth="1"/>
    <col min="5895" max="5895" width="14" style="118" customWidth="1"/>
    <col min="5896" max="5896" width="18.85546875" style="118" customWidth="1"/>
    <col min="5897" max="5901" width="10.85546875" style="118" customWidth="1"/>
    <col min="5902" max="6144" width="9.140625" style="118"/>
    <col min="6145" max="6145" width="9.42578125" style="118" customWidth="1"/>
    <col min="6146" max="6146" width="16.5703125" style="118" customWidth="1"/>
    <col min="6147" max="6147" width="17.42578125" style="118" customWidth="1"/>
    <col min="6148" max="6148" width="16.5703125" style="118" customWidth="1"/>
    <col min="6149" max="6149" width="9.85546875" style="118" customWidth="1"/>
    <col min="6150" max="6150" width="39.5703125" style="118" customWidth="1"/>
    <col min="6151" max="6151" width="14" style="118" customWidth="1"/>
    <col min="6152" max="6152" width="18.85546875" style="118" customWidth="1"/>
    <col min="6153" max="6157" width="10.85546875" style="118" customWidth="1"/>
    <col min="6158" max="6400" width="9.140625" style="118"/>
    <col min="6401" max="6401" width="9.42578125" style="118" customWidth="1"/>
    <col min="6402" max="6402" width="16.5703125" style="118" customWidth="1"/>
    <col min="6403" max="6403" width="17.42578125" style="118" customWidth="1"/>
    <col min="6404" max="6404" width="16.5703125" style="118" customWidth="1"/>
    <col min="6405" max="6405" width="9.85546875" style="118" customWidth="1"/>
    <col min="6406" max="6406" width="39.5703125" style="118" customWidth="1"/>
    <col min="6407" max="6407" width="14" style="118" customWidth="1"/>
    <col min="6408" max="6408" width="18.85546875" style="118" customWidth="1"/>
    <col min="6409" max="6413" width="10.85546875" style="118" customWidth="1"/>
    <col min="6414" max="6656" width="9.140625" style="118"/>
    <col min="6657" max="6657" width="9.42578125" style="118" customWidth="1"/>
    <col min="6658" max="6658" width="16.5703125" style="118" customWidth="1"/>
    <col min="6659" max="6659" width="17.42578125" style="118" customWidth="1"/>
    <col min="6660" max="6660" width="16.5703125" style="118" customWidth="1"/>
    <col min="6661" max="6661" width="9.85546875" style="118" customWidth="1"/>
    <col min="6662" max="6662" width="39.5703125" style="118" customWidth="1"/>
    <col min="6663" max="6663" width="14" style="118" customWidth="1"/>
    <col min="6664" max="6664" width="18.85546875" style="118" customWidth="1"/>
    <col min="6665" max="6669" width="10.85546875" style="118" customWidth="1"/>
    <col min="6670" max="6912" width="9.140625" style="118"/>
    <col min="6913" max="6913" width="9.42578125" style="118" customWidth="1"/>
    <col min="6914" max="6914" width="16.5703125" style="118" customWidth="1"/>
    <col min="6915" max="6915" width="17.42578125" style="118" customWidth="1"/>
    <col min="6916" max="6916" width="16.5703125" style="118" customWidth="1"/>
    <col min="6917" max="6917" width="9.85546875" style="118" customWidth="1"/>
    <col min="6918" max="6918" width="39.5703125" style="118" customWidth="1"/>
    <col min="6919" max="6919" width="14" style="118" customWidth="1"/>
    <col min="6920" max="6920" width="18.85546875" style="118" customWidth="1"/>
    <col min="6921" max="6925" width="10.85546875" style="118" customWidth="1"/>
    <col min="6926" max="7168" width="9.140625" style="118"/>
    <col min="7169" max="7169" width="9.42578125" style="118" customWidth="1"/>
    <col min="7170" max="7170" width="16.5703125" style="118" customWidth="1"/>
    <col min="7171" max="7171" width="17.42578125" style="118" customWidth="1"/>
    <col min="7172" max="7172" width="16.5703125" style="118" customWidth="1"/>
    <col min="7173" max="7173" width="9.85546875" style="118" customWidth="1"/>
    <col min="7174" max="7174" width="39.5703125" style="118" customWidth="1"/>
    <col min="7175" max="7175" width="14" style="118" customWidth="1"/>
    <col min="7176" max="7176" width="18.85546875" style="118" customWidth="1"/>
    <col min="7177" max="7181" width="10.85546875" style="118" customWidth="1"/>
    <col min="7182" max="7424" width="9.140625" style="118"/>
    <col min="7425" max="7425" width="9.42578125" style="118" customWidth="1"/>
    <col min="7426" max="7426" width="16.5703125" style="118" customWidth="1"/>
    <col min="7427" max="7427" width="17.42578125" style="118" customWidth="1"/>
    <col min="7428" max="7428" width="16.5703125" style="118" customWidth="1"/>
    <col min="7429" max="7429" width="9.85546875" style="118" customWidth="1"/>
    <col min="7430" max="7430" width="39.5703125" style="118" customWidth="1"/>
    <col min="7431" max="7431" width="14" style="118" customWidth="1"/>
    <col min="7432" max="7432" width="18.85546875" style="118" customWidth="1"/>
    <col min="7433" max="7437" width="10.85546875" style="118" customWidth="1"/>
    <col min="7438" max="7680" width="9.140625" style="118"/>
    <col min="7681" max="7681" width="9.42578125" style="118" customWidth="1"/>
    <col min="7682" max="7682" width="16.5703125" style="118" customWidth="1"/>
    <col min="7683" max="7683" width="17.42578125" style="118" customWidth="1"/>
    <col min="7684" max="7684" width="16.5703125" style="118" customWidth="1"/>
    <col min="7685" max="7685" width="9.85546875" style="118" customWidth="1"/>
    <col min="7686" max="7686" width="39.5703125" style="118" customWidth="1"/>
    <col min="7687" max="7687" width="14" style="118" customWidth="1"/>
    <col min="7688" max="7688" width="18.85546875" style="118" customWidth="1"/>
    <col min="7689" max="7693" width="10.85546875" style="118" customWidth="1"/>
    <col min="7694" max="7936" width="9.140625" style="118"/>
    <col min="7937" max="7937" width="9.42578125" style="118" customWidth="1"/>
    <col min="7938" max="7938" width="16.5703125" style="118" customWidth="1"/>
    <col min="7939" max="7939" width="17.42578125" style="118" customWidth="1"/>
    <col min="7940" max="7940" width="16.5703125" style="118" customWidth="1"/>
    <col min="7941" max="7941" width="9.85546875" style="118" customWidth="1"/>
    <col min="7942" max="7942" width="39.5703125" style="118" customWidth="1"/>
    <col min="7943" max="7943" width="14" style="118" customWidth="1"/>
    <col min="7944" max="7944" width="18.85546875" style="118" customWidth="1"/>
    <col min="7945" max="7949" width="10.85546875" style="118" customWidth="1"/>
    <col min="7950" max="8192" width="9.140625" style="118"/>
    <col min="8193" max="8193" width="9.42578125" style="118" customWidth="1"/>
    <col min="8194" max="8194" width="16.5703125" style="118" customWidth="1"/>
    <col min="8195" max="8195" width="17.42578125" style="118" customWidth="1"/>
    <col min="8196" max="8196" width="16.5703125" style="118" customWidth="1"/>
    <col min="8197" max="8197" width="9.85546875" style="118" customWidth="1"/>
    <col min="8198" max="8198" width="39.5703125" style="118" customWidth="1"/>
    <col min="8199" max="8199" width="14" style="118" customWidth="1"/>
    <col min="8200" max="8200" width="18.85546875" style="118" customWidth="1"/>
    <col min="8201" max="8205" width="10.85546875" style="118" customWidth="1"/>
    <col min="8206" max="8448" width="9.140625" style="118"/>
    <col min="8449" max="8449" width="9.42578125" style="118" customWidth="1"/>
    <col min="8450" max="8450" width="16.5703125" style="118" customWidth="1"/>
    <col min="8451" max="8451" width="17.42578125" style="118" customWidth="1"/>
    <col min="8452" max="8452" width="16.5703125" style="118" customWidth="1"/>
    <col min="8453" max="8453" width="9.85546875" style="118" customWidth="1"/>
    <col min="8454" max="8454" width="39.5703125" style="118" customWidth="1"/>
    <col min="8455" max="8455" width="14" style="118" customWidth="1"/>
    <col min="8456" max="8456" width="18.85546875" style="118" customWidth="1"/>
    <col min="8457" max="8461" width="10.85546875" style="118" customWidth="1"/>
    <col min="8462" max="8704" width="9.140625" style="118"/>
    <col min="8705" max="8705" width="9.42578125" style="118" customWidth="1"/>
    <col min="8706" max="8706" width="16.5703125" style="118" customWidth="1"/>
    <col min="8707" max="8707" width="17.42578125" style="118" customWidth="1"/>
    <col min="8708" max="8708" width="16.5703125" style="118" customWidth="1"/>
    <col min="8709" max="8709" width="9.85546875" style="118" customWidth="1"/>
    <col min="8710" max="8710" width="39.5703125" style="118" customWidth="1"/>
    <col min="8711" max="8711" width="14" style="118" customWidth="1"/>
    <col min="8712" max="8712" width="18.85546875" style="118" customWidth="1"/>
    <col min="8713" max="8717" width="10.85546875" style="118" customWidth="1"/>
    <col min="8718" max="8960" width="9.140625" style="118"/>
    <col min="8961" max="8961" width="9.42578125" style="118" customWidth="1"/>
    <col min="8962" max="8962" width="16.5703125" style="118" customWidth="1"/>
    <col min="8963" max="8963" width="17.42578125" style="118" customWidth="1"/>
    <col min="8964" max="8964" width="16.5703125" style="118" customWidth="1"/>
    <col min="8965" max="8965" width="9.85546875" style="118" customWidth="1"/>
    <col min="8966" max="8966" width="39.5703125" style="118" customWidth="1"/>
    <col min="8967" max="8967" width="14" style="118" customWidth="1"/>
    <col min="8968" max="8968" width="18.85546875" style="118" customWidth="1"/>
    <col min="8969" max="8973" width="10.85546875" style="118" customWidth="1"/>
    <col min="8974" max="9216" width="9.140625" style="118"/>
    <col min="9217" max="9217" width="9.42578125" style="118" customWidth="1"/>
    <col min="9218" max="9218" width="16.5703125" style="118" customWidth="1"/>
    <col min="9219" max="9219" width="17.42578125" style="118" customWidth="1"/>
    <col min="9220" max="9220" width="16.5703125" style="118" customWidth="1"/>
    <col min="9221" max="9221" width="9.85546875" style="118" customWidth="1"/>
    <col min="9222" max="9222" width="39.5703125" style="118" customWidth="1"/>
    <col min="9223" max="9223" width="14" style="118" customWidth="1"/>
    <col min="9224" max="9224" width="18.85546875" style="118" customWidth="1"/>
    <col min="9225" max="9229" width="10.85546875" style="118" customWidth="1"/>
    <col min="9230" max="9472" width="9.140625" style="118"/>
    <col min="9473" max="9473" width="9.42578125" style="118" customWidth="1"/>
    <col min="9474" max="9474" width="16.5703125" style="118" customWidth="1"/>
    <col min="9475" max="9475" width="17.42578125" style="118" customWidth="1"/>
    <col min="9476" max="9476" width="16.5703125" style="118" customWidth="1"/>
    <col min="9477" max="9477" width="9.85546875" style="118" customWidth="1"/>
    <col min="9478" max="9478" width="39.5703125" style="118" customWidth="1"/>
    <col min="9479" max="9479" width="14" style="118" customWidth="1"/>
    <col min="9480" max="9480" width="18.85546875" style="118" customWidth="1"/>
    <col min="9481" max="9485" width="10.85546875" style="118" customWidth="1"/>
    <col min="9486" max="9728" width="9.140625" style="118"/>
    <col min="9729" max="9729" width="9.42578125" style="118" customWidth="1"/>
    <col min="9730" max="9730" width="16.5703125" style="118" customWidth="1"/>
    <col min="9731" max="9731" width="17.42578125" style="118" customWidth="1"/>
    <col min="9732" max="9732" width="16.5703125" style="118" customWidth="1"/>
    <col min="9733" max="9733" width="9.85546875" style="118" customWidth="1"/>
    <col min="9734" max="9734" width="39.5703125" style="118" customWidth="1"/>
    <col min="9735" max="9735" width="14" style="118" customWidth="1"/>
    <col min="9736" max="9736" width="18.85546875" style="118" customWidth="1"/>
    <col min="9737" max="9741" width="10.85546875" style="118" customWidth="1"/>
    <col min="9742" max="9984" width="9.140625" style="118"/>
    <col min="9985" max="9985" width="9.42578125" style="118" customWidth="1"/>
    <col min="9986" max="9986" width="16.5703125" style="118" customWidth="1"/>
    <col min="9987" max="9987" width="17.42578125" style="118" customWidth="1"/>
    <col min="9988" max="9988" width="16.5703125" style="118" customWidth="1"/>
    <col min="9989" max="9989" width="9.85546875" style="118" customWidth="1"/>
    <col min="9990" max="9990" width="39.5703125" style="118" customWidth="1"/>
    <col min="9991" max="9991" width="14" style="118" customWidth="1"/>
    <col min="9992" max="9992" width="18.85546875" style="118" customWidth="1"/>
    <col min="9993" max="9997" width="10.85546875" style="118" customWidth="1"/>
    <col min="9998" max="10240" width="9.140625" style="118"/>
    <col min="10241" max="10241" width="9.42578125" style="118" customWidth="1"/>
    <col min="10242" max="10242" width="16.5703125" style="118" customWidth="1"/>
    <col min="10243" max="10243" width="17.42578125" style="118" customWidth="1"/>
    <col min="10244" max="10244" width="16.5703125" style="118" customWidth="1"/>
    <col min="10245" max="10245" width="9.85546875" style="118" customWidth="1"/>
    <col min="10246" max="10246" width="39.5703125" style="118" customWidth="1"/>
    <col min="10247" max="10247" width="14" style="118" customWidth="1"/>
    <col min="10248" max="10248" width="18.85546875" style="118" customWidth="1"/>
    <col min="10249" max="10253" width="10.85546875" style="118" customWidth="1"/>
    <col min="10254" max="10496" width="9.140625" style="118"/>
    <col min="10497" max="10497" width="9.42578125" style="118" customWidth="1"/>
    <col min="10498" max="10498" width="16.5703125" style="118" customWidth="1"/>
    <col min="10499" max="10499" width="17.42578125" style="118" customWidth="1"/>
    <col min="10500" max="10500" width="16.5703125" style="118" customWidth="1"/>
    <col min="10501" max="10501" width="9.85546875" style="118" customWidth="1"/>
    <col min="10502" max="10502" width="39.5703125" style="118" customWidth="1"/>
    <col min="10503" max="10503" width="14" style="118" customWidth="1"/>
    <col min="10504" max="10504" width="18.85546875" style="118" customWidth="1"/>
    <col min="10505" max="10509" width="10.85546875" style="118" customWidth="1"/>
    <col min="10510" max="10752" width="9.140625" style="118"/>
    <col min="10753" max="10753" width="9.42578125" style="118" customWidth="1"/>
    <col min="10754" max="10754" width="16.5703125" style="118" customWidth="1"/>
    <col min="10755" max="10755" width="17.42578125" style="118" customWidth="1"/>
    <col min="10756" max="10756" width="16.5703125" style="118" customWidth="1"/>
    <col min="10757" max="10757" width="9.85546875" style="118" customWidth="1"/>
    <col min="10758" max="10758" width="39.5703125" style="118" customWidth="1"/>
    <col min="10759" max="10759" width="14" style="118" customWidth="1"/>
    <col min="10760" max="10760" width="18.85546875" style="118" customWidth="1"/>
    <col min="10761" max="10765" width="10.85546875" style="118" customWidth="1"/>
    <col min="10766" max="11008" width="9.140625" style="118"/>
    <col min="11009" max="11009" width="9.42578125" style="118" customWidth="1"/>
    <col min="11010" max="11010" width="16.5703125" style="118" customWidth="1"/>
    <col min="11011" max="11011" width="17.42578125" style="118" customWidth="1"/>
    <col min="11012" max="11012" width="16.5703125" style="118" customWidth="1"/>
    <col min="11013" max="11013" width="9.85546875" style="118" customWidth="1"/>
    <col min="11014" max="11014" width="39.5703125" style="118" customWidth="1"/>
    <col min="11015" max="11015" width="14" style="118" customWidth="1"/>
    <col min="11016" max="11016" width="18.85546875" style="118" customWidth="1"/>
    <col min="11017" max="11021" width="10.85546875" style="118" customWidth="1"/>
    <col min="11022" max="11264" width="9.140625" style="118"/>
    <col min="11265" max="11265" width="9.42578125" style="118" customWidth="1"/>
    <col min="11266" max="11266" width="16.5703125" style="118" customWidth="1"/>
    <col min="11267" max="11267" width="17.42578125" style="118" customWidth="1"/>
    <col min="11268" max="11268" width="16.5703125" style="118" customWidth="1"/>
    <col min="11269" max="11269" width="9.85546875" style="118" customWidth="1"/>
    <col min="11270" max="11270" width="39.5703125" style="118" customWidth="1"/>
    <col min="11271" max="11271" width="14" style="118" customWidth="1"/>
    <col min="11272" max="11272" width="18.85546875" style="118" customWidth="1"/>
    <col min="11273" max="11277" width="10.85546875" style="118" customWidth="1"/>
    <col min="11278" max="11520" width="9.140625" style="118"/>
    <col min="11521" max="11521" width="9.42578125" style="118" customWidth="1"/>
    <col min="11522" max="11522" width="16.5703125" style="118" customWidth="1"/>
    <col min="11523" max="11523" width="17.42578125" style="118" customWidth="1"/>
    <col min="11524" max="11524" width="16.5703125" style="118" customWidth="1"/>
    <col min="11525" max="11525" width="9.85546875" style="118" customWidth="1"/>
    <col min="11526" max="11526" width="39.5703125" style="118" customWidth="1"/>
    <col min="11527" max="11527" width="14" style="118" customWidth="1"/>
    <col min="11528" max="11528" width="18.85546875" style="118" customWidth="1"/>
    <col min="11529" max="11533" width="10.85546875" style="118" customWidth="1"/>
    <col min="11534" max="11776" width="9.140625" style="118"/>
    <col min="11777" max="11777" width="9.42578125" style="118" customWidth="1"/>
    <col min="11778" max="11778" width="16.5703125" style="118" customWidth="1"/>
    <col min="11779" max="11779" width="17.42578125" style="118" customWidth="1"/>
    <col min="11780" max="11780" width="16.5703125" style="118" customWidth="1"/>
    <col min="11781" max="11781" width="9.85546875" style="118" customWidth="1"/>
    <col min="11782" max="11782" width="39.5703125" style="118" customWidth="1"/>
    <col min="11783" max="11783" width="14" style="118" customWidth="1"/>
    <col min="11784" max="11784" width="18.85546875" style="118" customWidth="1"/>
    <col min="11785" max="11789" width="10.85546875" style="118" customWidth="1"/>
    <col min="11790" max="12032" width="9.140625" style="118"/>
    <col min="12033" max="12033" width="9.42578125" style="118" customWidth="1"/>
    <col min="12034" max="12034" width="16.5703125" style="118" customWidth="1"/>
    <col min="12035" max="12035" width="17.42578125" style="118" customWidth="1"/>
    <col min="12036" max="12036" width="16.5703125" style="118" customWidth="1"/>
    <col min="12037" max="12037" width="9.85546875" style="118" customWidth="1"/>
    <col min="12038" max="12038" width="39.5703125" style="118" customWidth="1"/>
    <col min="12039" max="12039" width="14" style="118" customWidth="1"/>
    <col min="12040" max="12040" width="18.85546875" style="118" customWidth="1"/>
    <col min="12041" max="12045" width="10.85546875" style="118" customWidth="1"/>
    <col min="12046" max="12288" width="9.140625" style="118"/>
    <col min="12289" max="12289" width="9.42578125" style="118" customWidth="1"/>
    <col min="12290" max="12290" width="16.5703125" style="118" customWidth="1"/>
    <col min="12291" max="12291" width="17.42578125" style="118" customWidth="1"/>
    <col min="12292" max="12292" width="16.5703125" style="118" customWidth="1"/>
    <col min="12293" max="12293" width="9.85546875" style="118" customWidth="1"/>
    <col min="12294" max="12294" width="39.5703125" style="118" customWidth="1"/>
    <col min="12295" max="12295" width="14" style="118" customWidth="1"/>
    <col min="12296" max="12296" width="18.85546875" style="118" customWidth="1"/>
    <col min="12297" max="12301" width="10.85546875" style="118" customWidth="1"/>
    <col min="12302" max="12544" width="9.140625" style="118"/>
    <col min="12545" max="12545" width="9.42578125" style="118" customWidth="1"/>
    <col min="12546" max="12546" width="16.5703125" style="118" customWidth="1"/>
    <col min="12547" max="12547" width="17.42578125" style="118" customWidth="1"/>
    <col min="12548" max="12548" width="16.5703125" style="118" customWidth="1"/>
    <col min="12549" max="12549" width="9.85546875" style="118" customWidth="1"/>
    <col min="12550" max="12550" width="39.5703125" style="118" customWidth="1"/>
    <col min="12551" max="12551" width="14" style="118" customWidth="1"/>
    <col min="12552" max="12552" width="18.85546875" style="118" customWidth="1"/>
    <col min="12553" max="12557" width="10.85546875" style="118" customWidth="1"/>
    <col min="12558" max="12800" width="9.140625" style="118"/>
    <col min="12801" max="12801" width="9.42578125" style="118" customWidth="1"/>
    <col min="12802" max="12802" width="16.5703125" style="118" customWidth="1"/>
    <col min="12803" max="12803" width="17.42578125" style="118" customWidth="1"/>
    <col min="12804" max="12804" width="16.5703125" style="118" customWidth="1"/>
    <col min="12805" max="12805" width="9.85546875" style="118" customWidth="1"/>
    <col min="12806" max="12806" width="39.5703125" style="118" customWidth="1"/>
    <col min="12807" max="12807" width="14" style="118" customWidth="1"/>
    <col min="12808" max="12808" width="18.85546875" style="118" customWidth="1"/>
    <col min="12809" max="12813" width="10.85546875" style="118" customWidth="1"/>
    <col min="12814" max="13056" width="9.140625" style="118"/>
    <col min="13057" max="13057" width="9.42578125" style="118" customWidth="1"/>
    <col min="13058" max="13058" width="16.5703125" style="118" customWidth="1"/>
    <col min="13059" max="13059" width="17.42578125" style="118" customWidth="1"/>
    <col min="13060" max="13060" width="16.5703125" style="118" customWidth="1"/>
    <col min="13061" max="13061" width="9.85546875" style="118" customWidth="1"/>
    <col min="13062" max="13062" width="39.5703125" style="118" customWidth="1"/>
    <col min="13063" max="13063" width="14" style="118" customWidth="1"/>
    <col min="13064" max="13064" width="18.85546875" style="118" customWidth="1"/>
    <col min="13065" max="13069" width="10.85546875" style="118" customWidth="1"/>
    <col min="13070" max="13312" width="9.140625" style="118"/>
    <col min="13313" max="13313" width="9.42578125" style="118" customWidth="1"/>
    <col min="13314" max="13314" width="16.5703125" style="118" customWidth="1"/>
    <col min="13315" max="13315" width="17.42578125" style="118" customWidth="1"/>
    <col min="13316" max="13316" width="16.5703125" style="118" customWidth="1"/>
    <col min="13317" max="13317" width="9.85546875" style="118" customWidth="1"/>
    <col min="13318" max="13318" width="39.5703125" style="118" customWidth="1"/>
    <col min="13319" max="13319" width="14" style="118" customWidth="1"/>
    <col min="13320" max="13320" width="18.85546875" style="118" customWidth="1"/>
    <col min="13321" max="13325" width="10.85546875" style="118" customWidth="1"/>
    <col min="13326" max="13568" width="9.140625" style="118"/>
    <col min="13569" max="13569" width="9.42578125" style="118" customWidth="1"/>
    <col min="13570" max="13570" width="16.5703125" style="118" customWidth="1"/>
    <col min="13571" max="13571" width="17.42578125" style="118" customWidth="1"/>
    <col min="13572" max="13572" width="16.5703125" style="118" customWidth="1"/>
    <col min="13573" max="13573" width="9.85546875" style="118" customWidth="1"/>
    <col min="13574" max="13574" width="39.5703125" style="118" customWidth="1"/>
    <col min="13575" max="13575" width="14" style="118" customWidth="1"/>
    <col min="13576" max="13576" width="18.85546875" style="118" customWidth="1"/>
    <col min="13577" max="13581" width="10.85546875" style="118" customWidth="1"/>
    <col min="13582" max="13824" width="9.140625" style="118"/>
    <col min="13825" max="13825" width="9.42578125" style="118" customWidth="1"/>
    <col min="13826" max="13826" width="16.5703125" style="118" customWidth="1"/>
    <col min="13827" max="13827" width="17.42578125" style="118" customWidth="1"/>
    <col min="13828" max="13828" width="16.5703125" style="118" customWidth="1"/>
    <col min="13829" max="13829" width="9.85546875" style="118" customWidth="1"/>
    <col min="13830" max="13830" width="39.5703125" style="118" customWidth="1"/>
    <col min="13831" max="13831" width="14" style="118" customWidth="1"/>
    <col min="13832" max="13832" width="18.85546875" style="118" customWidth="1"/>
    <col min="13833" max="13837" width="10.85546875" style="118" customWidth="1"/>
    <col min="13838" max="14080" width="9.140625" style="118"/>
    <col min="14081" max="14081" width="9.42578125" style="118" customWidth="1"/>
    <col min="14082" max="14082" width="16.5703125" style="118" customWidth="1"/>
    <col min="14083" max="14083" width="17.42578125" style="118" customWidth="1"/>
    <col min="14084" max="14084" width="16.5703125" style="118" customWidth="1"/>
    <col min="14085" max="14085" width="9.85546875" style="118" customWidth="1"/>
    <col min="14086" max="14086" width="39.5703125" style="118" customWidth="1"/>
    <col min="14087" max="14087" width="14" style="118" customWidth="1"/>
    <col min="14088" max="14088" width="18.85546875" style="118" customWidth="1"/>
    <col min="14089" max="14093" width="10.85546875" style="118" customWidth="1"/>
    <col min="14094" max="14336" width="9.140625" style="118"/>
    <col min="14337" max="14337" width="9.42578125" style="118" customWidth="1"/>
    <col min="14338" max="14338" width="16.5703125" style="118" customWidth="1"/>
    <col min="14339" max="14339" width="17.42578125" style="118" customWidth="1"/>
    <col min="14340" max="14340" width="16.5703125" style="118" customWidth="1"/>
    <col min="14341" max="14341" width="9.85546875" style="118" customWidth="1"/>
    <col min="14342" max="14342" width="39.5703125" style="118" customWidth="1"/>
    <col min="14343" max="14343" width="14" style="118" customWidth="1"/>
    <col min="14344" max="14344" width="18.85546875" style="118" customWidth="1"/>
    <col min="14345" max="14349" width="10.85546875" style="118" customWidth="1"/>
    <col min="14350" max="14592" width="9.140625" style="118"/>
    <col min="14593" max="14593" width="9.42578125" style="118" customWidth="1"/>
    <col min="14594" max="14594" width="16.5703125" style="118" customWidth="1"/>
    <col min="14595" max="14595" width="17.42578125" style="118" customWidth="1"/>
    <col min="14596" max="14596" width="16.5703125" style="118" customWidth="1"/>
    <col min="14597" max="14597" width="9.85546875" style="118" customWidth="1"/>
    <col min="14598" max="14598" width="39.5703125" style="118" customWidth="1"/>
    <col min="14599" max="14599" width="14" style="118" customWidth="1"/>
    <col min="14600" max="14600" width="18.85546875" style="118" customWidth="1"/>
    <col min="14601" max="14605" width="10.85546875" style="118" customWidth="1"/>
    <col min="14606" max="14848" width="9.140625" style="118"/>
    <col min="14849" max="14849" width="9.42578125" style="118" customWidth="1"/>
    <col min="14850" max="14850" width="16.5703125" style="118" customWidth="1"/>
    <col min="14851" max="14851" width="17.42578125" style="118" customWidth="1"/>
    <col min="14852" max="14852" width="16.5703125" style="118" customWidth="1"/>
    <col min="14853" max="14853" width="9.85546875" style="118" customWidth="1"/>
    <col min="14854" max="14854" width="39.5703125" style="118" customWidth="1"/>
    <col min="14855" max="14855" width="14" style="118" customWidth="1"/>
    <col min="14856" max="14856" width="18.85546875" style="118" customWidth="1"/>
    <col min="14857" max="14861" width="10.85546875" style="118" customWidth="1"/>
    <col min="14862" max="15104" width="9.140625" style="118"/>
    <col min="15105" max="15105" width="9.42578125" style="118" customWidth="1"/>
    <col min="15106" max="15106" width="16.5703125" style="118" customWidth="1"/>
    <col min="15107" max="15107" width="17.42578125" style="118" customWidth="1"/>
    <col min="15108" max="15108" width="16.5703125" style="118" customWidth="1"/>
    <col min="15109" max="15109" width="9.85546875" style="118" customWidth="1"/>
    <col min="15110" max="15110" width="39.5703125" style="118" customWidth="1"/>
    <col min="15111" max="15111" width="14" style="118" customWidth="1"/>
    <col min="15112" max="15112" width="18.85546875" style="118" customWidth="1"/>
    <col min="15113" max="15117" width="10.85546875" style="118" customWidth="1"/>
    <col min="15118" max="15360" width="9.140625" style="118"/>
    <col min="15361" max="15361" width="9.42578125" style="118" customWidth="1"/>
    <col min="15362" max="15362" width="16.5703125" style="118" customWidth="1"/>
    <col min="15363" max="15363" width="17.42578125" style="118" customWidth="1"/>
    <col min="15364" max="15364" width="16.5703125" style="118" customWidth="1"/>
    <col min="15365" max="15365" width="9.85546875" style="118" customWidth="1"/>
    <col min="15366" max="15366" width="39.5703125" style="118" customWidth="1"/>
    <col min="15367" max="15367" width="14" style="118" customWidth="1"/>
    <col min="15368" max="15368" width="18.85546875" style="118" customWidth="1"/>
    <col min="15369" max="15373" width="10.85546875" style="118" customWidth="1"/>
    <col min="15374" max="15616" width="9.140625" style="118"/>
    <col min="15617" max="15617" width="9.42578125" style="118" customWidth="1"/>
    <col min="15618" max="15618" width="16.5703125" style="118" customWidth="1"/>
    <col min="15619" max="15619" width="17.42578125" style="118" customWidth="1"/>
    <col min="15620" max="15620" width="16.5703125" style="118" customWidth="1"/>
    <col min="15621" max="15621" width="9.85546875" style="118" customWidth="1"/>
    <col min="15622" max="15622" width="39.5703125" style="118" customWidth="1"/>
    <col min="15623" max="15623" width="14" style="118" customWidth="1"/>
    <col min="15624" max="15624" width="18.85546875" style="118" customWidth="1"/>
    <col min="15625" max="15629" width="10.85546875" style="118" customWidth="1"/>
    <col min="15630" max="15872" width="9.140625" style="118"/>
    <col min="15873" max="15873" width="9.42578125" style="118" customWidth="1"/>
    <col min="15874" max="15874" width="16.5703125" style="118" customWidth="1"/>
    <col min="15875" max="15875" width="17.42578125" style="118" customWidth="1"/>
    <col min="15876" max="15876" width="16.5703125" style="118" customWidth="1"/>
    <col min="15877" max="15877" width="9.85546875" style="118" customWidth="1"/>
    <col min="15878" max="15878" width="39.5703125" style="118" customWidth="1"/>
    <col min="15879" max="15879" width="14" style="118" customWidth="1"/>
    <col min="15880" max="15880" width="18.85546875" style="118" customWidth="1"/>
    <col min="15881" max="15885" width="10.85546875" style="118" customWidth="1"/>
    <col min="15886" max="16128" width="9.140625" style="118"/>
    <col min="16129" max="16129" width="9.42578125" style="118" customWidth="1"/>
    <col min="16130" max="16130" width="16.5703125" style="118" customWidth="1"/>
    <col min="16131" max="16131" width="17.42578125" style="118" customWidth="1"/>
    <col min="16132" max="16132" width="16.5703125" style="118" customWidth="1"/>
    <col min="16133" max="16133" width="9.85546875" style="118" customWidth="1"/>
    <col min="16134" max="16134" width="39.5703125" style="118" customWidth="1"/>
    <col min="16135" max="16135" width="14" style="118" customWidth="1"/>
    <col min="16136" max="16136" width="18.85546875" style="118" customWidth="1"/>
    <col min="16137" max="16141" width="10.85546875" style="118" customWidth="1"/>
    <col min="16142" max="16384" width="9.140625" style="118"/>
  </cols>
  <sheetData>
    <row r="1" spans="1:15" x14ac:dyDescent="0.25">
      <c r="A1" s="117"/>
      <c r="B1" s="117"/>
      <c r="C1" s="118"/>
      <c r="D1" s="119"/>
      <c r="E1" s="442" t="s">
        <v>341</v>
      </c>
      <c r="F1" s="442"/>
      <c r="G1" s="442"/>
      <c r="H1" s="442"/>
      <c r="I1" s="442"/>
      <c r="J1" s="120"/>
    </row>
    <row r="2" spans="1:15" x14ac:dyDescent="0.25">
      <c r="A2" s="121"/>
      <c r="B2" s="121"/>
      <c r="C2" s="118"/>
      <c r="D2" s="442" t="s">
        <v>516</v>
      </c>
      <c r="E2" s="442"/>
      <c r="F2" s="442"/>
      <c r="G2" s="442"/>
      <c r="H2" s="442"/>
      <c r="I2" s="442"/>
      <c r="J2" s="120"/>
    </row>
    <row r="3" spans="1:15" x14ac:dyDescent="0.25">
      <c r="A3" s="122"/>
      <c r="B3" s="122"/>
      <c r="N3" s="118">
        <v>2025</v>
      </c>
      <c r="O3" s="118" t="s">
        <v>343</v>
      </c>
    </row>
    <row r="4" spans="1:15" s="124" customFormat="1" ht="48" customHeight="1" x14ac:dyDescent="0.2">
      <c r="A4" s="443" t="s">
        <v>1</v>
      </c>
      <c r="B4" s="444" t="s">
        <v>344</v>
      </c>
      <c r="C4" s="445" t="s">
        <v>345</v>
      </c>
      <c r="D4" s="445" t="s">
        <v>346</v>
      </c>
      <c r="E4" s="441" t="s">
        <v>347</v>
      </c>
      <c r="F4" s="441" t="s">
        <v>348</v>
      </c>
      <c r="G4" s="441" t="s">
        <v>350</v>
      </c>
      <c r="H4" s="441" t="s">
        <v>9</v>
      </c>
      <c r="I4" s="441" t="s">
        <v>10</v>
      </c>
      <c r="J4" s="441"/>
      <c r="K4" s="441" t="s">
        <v>11</v>
      </c>
      <c r="L4" s="441" t="s">
        <v>12</v>
      </c>
      <c r="M4" s="441" t="s">
        <v>13</v>
      </c>
    </row>
    <row r="5" spans="1:15" s="124" customFormat="1" ht="36.75" customHeight="1" x14ac:dyDescent="0.2">
      <c r="A5" s="443"/>
      <c r="B5" s="444"/>
      <c r="C5" s="445"/>
      <c r="D5" s="445"/>
      <c r="E5" s="441"/>
      <c r="F5" s="441"/>
      <c r="G5" s="441"/>
      <c r="H5" s="441"/>
      <c r="I5" s="125" t="s">
        <v>14</v>
      </c>
      <c r="J5" s="125" t="s">
        <v>15</v>
      </c>
      <c r="K5" s="441"/>
      <c r="L5" s="441"/>
      <c r="M5" s="441"/>
    </row>
    <row r="6" spans="1:15" s="124" customFormat="1" ht="20.25" customHeight="1" x14ac:dyDescent="0.2">
      <c r="A6" s="436" t="s">
        <v>351</v>
      </c>
      <c r="B6" s="177"/>
      <c r="C6" s="178"/>
      <c r="D6" s="179"/>
      <c r="E6" s="465" t="s">
        <v>517</v>
      </c>
      <c r="F6" s="180" t="s">
        <v>518</v>
      </c>
      <c r="G6" s="181">
        <v>7</v>
      </c>
      <c r="H6" s="182">
        <v>2019</v>
      </c>
      <c r="I6" s="182">
        <v>300</v>
      </c>
      <c r="J6" s="182">
        <f t="shared" ref="J6:J15" si="0">I6/12</f>
        <v>25</v>
      </c>
      <c r="K6" s="183">
        <f t="shared" ref="K6:K15" si="1">I6/12</f>
        <v>25</v>
      </c>
      <c r="L6" s="183">
        <f>N$3-H6</f>
        <v>6</v>
      </c>
      <c r="M6" s="184">
        <f t="shared" ref="M6:M15" si="2">L6/J6</f>
        <v>0.24</v>
      </c>
    </row>
    <row r="7" spans="1:15" s="124" customFormat="1" ht="20.25" customHeight="1" x14ac:dyDescent="0.2">
      <c r="A7" s="436"/>
      <c r="B7" s="329"/>
      <c r="C7" s="330"/>
      <c r="D7" s="331"/>
      <c r="E7" s="448"/>
      <c r="F7" s="336" t="s">
        <v>693</v>
      </c>
      <c r="G7" s="332">
        <v>1</v>
      </c>
      <c r="H7" s="333">
        <v>2024</v>
      </c>
      <c r="I7" s="182">
        <v>300</v>
      </c>
      <c r="J7" s="182">
        <f t="shared" ref="J7" si="3">I7/12</f>
        <v>25</v>
      </c>
      <c r="K7" s="183">
        <f t="shared" ref="K7" si="4">I7/12</f>
        <v>25</v>
      </c>
      <c r="L7" s="183">
        <f>N$3-H7</f>
        <v>1</v>
      </c>
      <c r="M7" s="184">
        <f t="shared" ref="M7" si="5">L7/J7</f>
        <v>0.04</v>
      </c>
    </row>
    <row r="8" spans="1:15" s="124" customFormat="1" ht="24" customHeight="1" x14ac:dyDescent="0.2">
      <c r="A8" s="436"/>
      <c r="B8" s="185"/>
      <c r="C8" s="186"/>
      <c r="D8" s="186"/>
      <c r="E8" s="449"/>
      <c r="F8" s="187" t="s">
        <v>519</v>
      </c>
      <c r="G8" s="188">
        <v>1</v>
      </c>
      <c r="H8" s="186">
        <v>2019</v>
      </c>
      <c r="I8" s="186">
        <v>300</v>
      </c>
      <c r="J8" s="186">
        <f t="shared" si="0"/>
        <v>25</v>
      </c>
      <c r="K8" s="189">
        <f t="shared" si="1"/>
        <v>25</v>
      </c>
      <c r="L8" s="189">
        <f>N$3-H8</f>
        <v>6</v>
      </c>
      <c r="M8" s="190">
        <f t="shared" si="2"/>
        <v>0.24</v>
      </c>
    </row>
    <row r="9" spans="1:15" s="124" customFormat="1" ht="24" customHeight="1" x14ac:dyDescent="0.2">
      <c r="A9" s="436"/>
      <c r="B9" s="185"/>
      <c r="C9" s="186"/>
      <c r="D9" s="186"/>
      <c r="E9" s="449"/>
      <c r="F9" s="187" t="s">
        <v>520</v>
      </c>
      <c r="G9" s="188">
        <v>1</v>
      </c>
      <c r="H9" s="186">
        <v>2019</v>
      </c>
      <c r="I9" s="186">
        <v>300</v>
      </c>
      <c r="J9" s="186">
        <f t="shared" si="0"/>
        <v>25</v>
      </c>
      <c r="K9" s="189">
        <f t="shared" si="1"/>
        <v>25</v>
      </c>
      <c r="L9" s="189">
        <f t="shared" ref="L9:L27" si="6">N$3-H9</f>
        <v>6</v>
      </c>
      <c r="M9" s="190">
        <f t="shared" si="2"/>
        <v>0.24</v>
      </c>
    </row>
    <row r="10" spans="1:15" s="124" customFormat="1" ht="24" customHeight="1" x14ac:dyDescent="0.2">
      <c r="A10" s="436"/>
      <c r="B10" s="185"/>
      <c r="C10" s="186"/>
      <c r="D10" s="186"/>
      <c r="E10" s="449"/>
      <c r="F10" s="187" t="s">
        <v>521</v>
      </c>
      <c r="G10" s="337">
        <v>10</v>
      </c>
      <c r="H10" s="186">
        <v>2019</v>
      </c>
      <c r="I10" s="186">
        <v>300</v>
      </c>
      <c r="J10" s="186">
        <f t="shared" si="0"/>
        <v>25</v>
      </c>
      <c r="K10" s="189">
        <f t="shared" si="1"/>
        <v>25</v>
      </c>
      <c r="L10" s="189">
        <f t="shared" si="6"/>
        <v>6</v>
      </c>
      <c r="M10" s="190">
        <f t="shared" si="2"/>
        <v>0.24</v>
      </c>
    </row>
    <row r="11" spans="1:15" s="124" customFormat="1" ht="24" customHeight="1" x14ac:dyDescent="0.2">
      <c r="A11" s="436"/>
      <c r="B11" s="185"/>
      <c r="C11" s="186"/>
      <c r="D11" s="186"/>
      <c r="E11" s="449"/>
      <c r="F11" s="187" t="s">
        <v>522</v>
      </c>
      <c r="G11" s="337">
        <v>8</v>
      </c>
      <c r="H11" s="186">
        <v>2019</v>
      </c>
      <c r="I11" s="186">
        <v>300</v>
      </c>
      <c r="J11" s="186">
        <f t="shared" si="0"/>
        <v>25</v>
      </c>
      <c r="K11" s="189">
        <f t="shared" si="1"/>
        <v>25</v>
      </c>
      <c r="L11" s="189">
        <f t="shared" si="6"/>
        <v>6</v>
      </c>
      <c r="M11" s="190">
        <f t="shared" si="2"/>
        <v>0.24</v>
      </c>
    </row>
    <row r="12" spans="1:15" s="124" customFormat="1" ht="24" customHeight="1" x14ac:dyDescent="0.2">
      <c r="A12" s="436"/>
      <c r="B12" s="185"/>
      <c r="C12" s="186"/>
      <c r="D12" s="186"/>
      <c r="E12" s="449"/>
      <c r="F12" s="187" t="s">
        <v>522</v>
      </c>
      <c r="G12" s="337">
        <v>2</v>
      </c>
      <c r="H12" s="186">
        <v>2019</v>
      </c>
      <c r="I12" s="186">
        <v>300</v>
      </c>
      <c r="J12" s="186">
        <f t="shared" si="0"/>
        <v>25</v>
      </c>
      <c r="K12" s="189">
        <f t="shared" si="1"/>
        <v>25</v>
      </c>
      <c r="L12" s="189">
        <f>N$3-H12</f>
        <v>6</v>
      </c>
      <c r="M12" s="190">
        <f t="shared" si="2"/>
        <v>0.24</v>
      </c>
    </row>
    <row r="13" spans="1:15" s="124" customFormat="1" ht="18.75" customHeight="1" x14ac:dyDescent="0.2">
      <c r="A13" s="436"/>
      <c r="B13" s="185"/>
      <c r="C13" s="186"/>
      <c r="D13" s="186"/>
      <c r="E13" s="449"/>
      <c r="F13" s="187" t="s">
        <v>523</v>
      </c>
      <c r="G13" s="337">
        <v>1</v>
      </c>
      <c r="H13" s="186">
        <v>2019</v>
      </c>
      <c r="I13" s="186">
        <v>300</v>
      </c>
      <c r="J13" s="186">
        <f t="shared" si="0"/>
        <v>25</v>
      </c>
      <c r="K13" s="189">
        <f t="shared" si="1"/>
        <v>25</v>
      </c>
      <c r="L13" s="189">
        <f t="shared" si="6"/>
        <v>6</v>
      </c>
      <c r="M13" s="190">
        <f t="shared" si="2"/>
        <v>0.24</v>
      </c>
    </row>
    <row r="14" spans="1:15" s="124" customFormat="1" ht="18.75" customHeight="1" x14ac:dyDescent="0.2">
      <c r="A14" s="436"/>
      <c r="B14" s="185"/>
      <c r="C14" s="186"/>
      <c r="D14" s="186"/>
      <c r="E14" s="449"/>
      <c r="F14" s="187" t="s">
        <v>524</v>
      </c>
      <c r="G14" s="188">
        <v>1</v>
      </c>
      <c r="H14" s="186">
        <v>2019</v>
      </c>
      <c r="I14" s="186">
        <v>300</v>
      </c>
      <c r="J14" s="186">
        <f t="shared" si="0"/>
        <v>25</v>
      </c>
      <c r="K14" s="189">
        <f t="shared" si="1"/>
        <v>25</v>
      </c>
      <c r="L14" s="189">
        <f t="shared" si="6"/>
        <v>6</v>
      </c>
      <c r="M14" s="190">
        <f t="shared" si="2"/>
        <v>0.24</v>
      </c>
    </row>
    <row r="15" spans="1:15" s="124" customFormat="1" ht="31.5" customHeight="1" x14ac:dyDescent="0.2">
      <c r="A15" s="436"/>
      <c r="B15" s="185"/>
      <c r="C15" s="186"/>
      <c r="D15" s="186"/>
      <c r="E15" s="449"/>
      <c r="F15" s="187" t="s">
        <v>525</v>
      </c>
      <c r="G15" s="188">
        <v>3</v>
      </c>
      <c r="H15" s="186">
        <v>2015</v>
      </c>
      <c r="I15" s="186">
        <v>300</v>
      </c>
      <c r="J15" s="186">
        <f t="shared" si="0"/>
        <v>25</v>
      </c>
      <c r="K15" s="189">
        <f t="shared" si="1"/>
        <v>25</v>
      </c>
      <c r="L15" s="189">
        <f t="shared" si="6"/>
        <v>10</v>
      </c>
      <c r="M15" s="190">
        <f t="shared" si="2"/>
        <v>0.4</v>
      </c>
    </row>
    <row r="16" spans="1:15" s="124" customFormat="1" ht="30" customHeight="1" thickBot="1" x14ac:dyDescent="0.25">
      <c r="A16" s="437"/>
      <c r="B16" s="191"/>
      <c r="C16" s="192"/>
      <c r="D16" s="192"/>
      <c r="E16" s="450"/>
      <c r="F16" s="193"/>
      <c r="G16" s="192"/>
      <c r="H16" s="192"/>
      <c r="I16" s="192"/>
      <c r="J16" s="192"/>
      <c r="K16" s="194"/>
      <c r="L16" s="194"/>
      <c r="M16" s="195"/>
    </row>
    <row r="17" spans="1:24" s="124" customFormat="1" ht="21.75" customHeight="1" x14ac:dyDescent="0.2">
      <c r="A17" s="435" t="s">
        <v>358</v>
      </c>
      <c r="B17" s="196"/>
      <c r="C17" s="197"/>
      <c r="D17" s="198"/>
      <c r="E17" s="452" t="s">
        <v>352</v>
      </c>
      <c r="F17" s="199" t="s">
        <v>518</v>
      </c>
      <c r="G17" s="200">
        <v>7</v>
      </c>
      <c r="H17" s="201">
        <v>2019</v>
      </c>
      <c r="I17" s="201">
        <v>300</v>
      </c>
      <c r="J17" s="201">
        <f>I17/12</f>
        <v>25</v>
      </c>
      <c r="K17" s="202">
        <f>I17/12</f>
        <v>25</v>
      </c>
      <c r="L17" s="202">
        <f t="shared" si="6"/>
        <v>6</v>
      </c>
      <c r="M17" s="203">
        <f>L17/J17</f>
        <v>0.24</v>
      </c>
    </row>
    <row r="18" spans="1:24" s="124" customFormat="1" ht="21.75" customHeight="1" x14ac:dyDescent="0.2">
      <c r="A18" s="446"/>
      <c r="B18" s="329"/>
      <c r="C18" s="330"/>
      <c r="D18" s="331"/>
      <c r="E18" s="448"/>
      <c r="F18" s="336" t="s">
        <v>693</v>
      </c>
      <c r="G18" s="332">
        <v>1</v>
      </c>
      <c r="H18" s="210">
        <v>2024</v>
      </c>
      <c r="I18" s="210">
        <v>300</v>
      </c>
      <c r="J18" s="210">
        <f>I18/12</f>
        <v>25</v>
      </c>
      <c r="K18" s="338">
        <f>I18/12</f>
        <v>25</v>
      </c>
      <c r="L18" s="338">
        <f t="shared" si="6"/>
        <v>1</v>
      </c>
      <c r="M18" s="339">
        <f>L18/J18</f>
        <v>0.04</v>
      </c>
    </row>
    <row r="19" spans="1:24" s="124" customFormat="1" ht="21.75" customHeight="1" x14ac:dyDescent="0.2">
      <c r="A19" s="446"/>
      <c r="B19" s="329"/>
      <c r="C19" s="330"/>
      <c r="D19" s="331"/>
      <c r="E19" s="448"/>
      <c r="F19" s="334" t="s">
        <v>691</v>
      </c>
      <c r="G19" s="332">
        <v>5</v>
      </c>
      <c r="H19" s="210">
        <v>2024</v>
      </c>
      <c r="I19" s="210">
        <v>300</v>
      </c>
      <c r="J19" s="210">
        <f>I19/12</f>
        <v>25</v>
      </c>
      <c r="K19" s="338">
        <f>I19/12</f>
        <v>25</v>
      </c>
      <c r="L19" s="338">
        <f t="shared" ref="L19" si="7">N$3-H19</f>
        <v>1</v>
      </c>
      <c r="M19" s="339">
        <f>L19/J19</f>
        <v>0.04</v>
      </c>
    </row>
    <row r="20" spans="1:24" s="124" customFormat="1" ht="26.25" customHeight="1" x14ac:dyDescent="0.2">
      <c r="A20" s="436"/>
      <c r="B20" s="185"/>
      <c r="C20" s="186"/>
      <c r="D20" s="186"/>
      <c r="E20" s="449"/>
      <c r="F20" s="204" t="s">
        <v>526</v>
      </c>
      <c r="G20" s="188">
        <f>2</f>
        <v>2</v>
      </c>
      <c r="H20" s="186">
        <v>1989</v>
      </c>
      <c r="I20" s="186">
        <v>300</v>
      </c>
      <c r="J20" s="186">
        <f>I20/12</f>
        <v>25</v>
      </c>
      <c r="K20" s="189">
        <f>I20/12</f>
        <v>25</v>
      </c>
      <c r="L20" s="189">
        <f t="shared" si="6"/>
        <v>36</v>
      </c>
      <c r="M20" s="190">
        <f>L20/J20</f>
        <v>1.44</v>
      </c>
    </row>
    <row r="21" spans="1:24" s="124" customFormat="1" ht="30" customHeight="1" x14ac:dyDescent="0.2">
      <c r="A21" s="436"/>
      <c r="B21" s="185"/>
      <c r="C21" s="186"/>
      <c r="D21" s="186"/>
      <c r="E21" s="449"/>
      <c r="F21" s="204" t="s">
        <v>718</v>
      </c>
      <c r="G21" s="188">
        <v>2</v>
      </c>
      <c r="H21" s="186">
        <v>2025</v>
      </c>
      <c r="I21" s="186">
        <v>300</v>
      </c>
      <c r="J21" s="186">
        <f>I21/12</f>
        <v>25</v>
      </c>
      <c r="K21" s="189">
        <f>I21/12</f>
        <v>25</v>
      </c>
      <c r="L21" s="189">
        <f t="shared" si="6"/>
        <v>0</v>
      </c>
      <c r="M21" s="190">
        <f>L21/J21</f>
        <v>0</v>
      </c>
    </row>
    <row r="22" spans="1:24" s="124" customFormat="1" ht="24" customHeight="1" x14ac:dyDescent="0.2">
      <c r="A22" s="436"/>
      <c r="B22" s="185"/>
      <c r="C22" s="186"/>
      <c r="D22" s="186"/>
      <c r="E22" s="449"/>
      <c r="F22" s="204" t="s">
        <v>525</v>
      </c>
      <c r="G22" s="188">
        <v>1</v>
      </c>
      <c r="H22" s="186">
        <v>2020</v>
      </c>
      <c r="I22" s="186">
        <v>300</v>
      </c>
      <c r="J22" s="186">
        <f t="shared" ref="J22:J27" si="8">I22/12</f>
        <v>25</v>
      </c>
      <c r="K22" s="189">
        <f t="shared" ref="K22:K27" si="9">I22/12</f>
        <v>25</v>
      </c>
      <c r="L22" s="189">
        <f t="shared" si="6"/>
        <v>5</v>
      </c>
      <c r="M22" s="190">
        <f t="shared" ref="M22:M27" si="10">L22/J22</f>
        <v>0.2</v>
      </c>
    </row>
    <row r="23" spans="1:24" s="124" customFormat="1" ht="24" customHeight="1" x14ac:dyDescent="0.2">
      <c r="A23" s="436"/>
      <c r="B23" s="185"/>
      <c r="C23" s="186"/>
      <c r="D23" s="186"/>
      <c r="E23" s="449"/>
      <c r="F23" s="187" t="s">
        <v>528</v>
      </c>
      <c r="G23" s="186">
        <v>3</v>
      </c>
      <c r="H23" s="186">
        <v>1989</v>
      </c>
      <c r="I23" s="186">
        <v>300</v>
      </c>
      <c r="J23" s="186">
        <f t="shared" si="8"/>
        <v>25</v>
      </c>
      <c r="K23" s="189">
        <f t="shared" si="9"/>
        <v>25</v>
      </c>
      <c r="L23" s="189">
        <f t="shared" si="6"/>
        <v>36</v>
      </c>
      <c r="M23" s="190">
        <f t="shared" si="10"/>
        <v>1.44</v>
      </c>
    </row>
    <row r="24" spans="1:24" s="124" customFormat="1" ht="25.5" customHeight="1" thickBot="1" x14ac:dyDescent="0.25">
      <c r="A24" s="437"/>
      <c r="B24" s="191"/>
      <c r="C24" s="192"/>
      <c r="D24" s="192"/>
      <c r="E24" s="450"/>
      <c r="F24" s="193"/>
      <c r="G24" s="192"/>
      <c r="H24" s="192"/>
      <c r="I24" s="192"/>
      <c r="J24" s="192"/>
      <c r="K24" s="194"/>
      <c r="L24" s="194"/>
      <c r="M24" s="195"/>
    </row>
    <row r="25" spans="1:24" s="124" customFormat="1" ht="27" customHeight="1" x14ac:dyDescent="0.2">
      <c r="A25" s="435" t="s">
        <v>362</v>
      </c>
      <c r="B25" s="196"/>
      <c r="C25" s="197"/>
      <c r="D25" s="198"/>
      <c r="E25" s="452" t="s">
        <v>359</v>
      </c>
      <c r="F25" s="371" t="s">
        <v>530</v>
      </c>
      <c r="G25" s="201">
        <v>5</v>
      </c>
      <c r="H25" s="201">
        <v>2020</v>
      </c>
      <c r="I25" s="201">
        <v>300</v>
      </c>
      <c r="J25" s="201">
        <f t="shared" si="8"/>
        <v>25</v>
      </c>
      <c r="K25" s="202">
        <f t="shared" si="9"/>
        <v>25</v>
      </c>
      <c r="L25" s="202">
        <f t="shared" si="6"/>
        <v>5</v>
      </c>
      <c r="M25" s="203">
        <f t="shared" si="10"/>
        <v>0.2</v>
      </c>
    </row>
    <row r="26" spans="1:24" s="124" customFormat="1" ht="27" customHeight="1" thickBot="1" x14ac:dyDescent="0.25">
      <c r="A26" s="437"/>
      <c r="B26" s="191"/>
      <c r="C26" s="192"/>
      <c r="D26" s="192"/>
      <c r="E26" s="450"/>
      <c r="F26" s="371" t="s">
        <v>719</v>
      </c>
      <c r="G26" s="192">
        <v>1</v>
      </c>
      <c r="H26" s="208">
        <v>2025</v>
      </c>
      <c r="I26" s="192">
        <v>300</v>
      </c>
      <c r="J26" s="192">
        <f t="shared" si="8"/>
        <v>25</v>
      </c>
      <c r="K26" s="194">
        <f t="shared" si="9"/>
        <v>25</v>
      </c>
      <c r="L26" s="194">
        <f t="shared" si="6"/>
        <v>0</v>
      </c>
      <c r="M26" s="195">
        <f t="shared" si="10"/>
        <v>0</v>
      </c>
    </row>
    <row r="27" spans="1:24" s="150" customFormat="1" ht="15.75" thickBot="1" x14ac:dyDescent="0.3">
      <c r="A27" s="435" t="s">
        <v>372</v>
      </c>
      <c r="B27" s="196"/>
      <c r="C27" s="197"/>
      <c r="D27" s="198"/>
      <c r="E27" s="452" t="s">
        <v>364</v>
      </c>
      <c r="F27" s="207" t="s">
        <v>531</v>
      </c>
      <c r="G27" s="200">
        <v>1</v>
      </c>
      <c r="H27" s="201">
        <v>2019</v>
      </c>
      <c r="I27" s="201">
        <v>300</v>
      </c>
      <c r="J27" s="201">
        <f t="shared" si="8"/>
        <v>25</v>
      </c>
      <c r="K27" s="202">
        <f t="shared" si="9"/>
        <v>25</v>
      </c>
      <c r="L27" s="202">
        <f t="shared" si="6"/>
        <v>6</v>
      </c>
      <c r="M27" s="203">
        <f t="shared" si="10"/>
        <v>0.24</v>
      </c>
      <c r="O27" s="151"/>
      <c r="P27" s="124"/>
      <c r="Q27" s="151"/>
      <c r="R27" s="151"/>
      <c r="S27" s="151"/>
      <c r="T27" s="151"/>
      <c r="U27" s="151"/>
      <c r="V27" s="151"/>
      <c r="W27" s="151"/>
      <c r="X27" s="151"/>
    </row>
    <row r="28" spans="1:24" s="150" customFormat="1" ht="15.75" thickBot="1" x14ac:dyDescent="0.3">
      <c r="A28" s="446"/>
      <c r="B28" s="185"/>
      <c r="C28" s="186"/>
      <c r="D28" s="209"/>
      <c r="E28" s="449"/>
      <c r="F28" s="187" t="s">
        <v>532</v>
      </c>
      <c r="G28" s="188">
        <v>1</v>
      </c>
      <c r="H28" s="210">
        <v>2000</v>
      </c>
      <c r="I28" s="201">
        <v>300</v>
      </c>
      <c r="J28" s="201">
        <f t="shared" ref="J28" si="11">I28/12</f>
        <v>25</v>
      </c>
      <c r="K28" s="202">
        <f t="shared" ref="K28" si="12">I28/12</f>
        <v>25</v>
      </c>
      <c r="L28" s="202">
        <f t="shared" ref="L28" si="13">N$3-H28</f>
        <v>25</v>
      </c>
      <c r="M28" s="203">
        <f t="shared" ref="M28" si="14">L28/J28</f>
        <v>1</v>
      </c>
      <c r="O28" s="151"/>
      <c r="P28" s="124"/>
      <c r="Q28" s="151"/>
      <c r="R28" s="151"/>
      <c r="S28" s="151"/>
      <c r="T28" s="151"/>
      <c r="U28" s="151"/>
      <c r="V28" s="151"/>
      <c r="W28" s="151"/>
      <c r="X28" s="151"/>
    </row>
    <row r="29" spans="1:24" s="150" customFormat="1" x14ac:dyDescent="0.25">
      <c r="A29" s="446"/>
      <c r="B29" s="185"/>
      <c r="C29" s="186"/>
      <c r="D29" s="209"/>
      <c r="E29" s="449"/>
      <c r="F29" s="335" t="s">
        <v>691</v>
      </c>
      <c r="G29" s="188">
        <v>7</v>
      </c>
      <c r="H29" s="210">
        <v>2025</v>
      </c>
      <c r="I29" s="201">
        <v>300</v>
      </c>
      <c r="J29" s="201">
        <f t="shared" ref="J29" si="15">I29/12</f>
        <v>25</v>
      </c>
      <c r="K29" s="202">
        <f t="shared" ref="K29" si="16">I29/12</f>
        <v>25</v>
      </c>
      <c r="L29" s="202">
        <f t="shared" ref="L29" si="17">N$3-H29</f>
        <v>0</v>
      </c>
      <c r="M29" s="203">
        <f t="shared" ref="M29" si="18">L29/J29</f>
        <v>0</v>
      </c>
      <c r="O29" s="151"/>
      <c r="P29" s="124"/>
      <c r="Q29" s="151"/>
      <c r="R29" s="151"/>
      <c r="S29" s="151"/>
      <c r="T29" s="151"/>
      <c r="U29" s="151"/>
      <c r="V29" s="151"/>
      <c r="W29" s="151"/>
      <c r="X29" s="151"/>
    </row>
    <row r="30" spans="1:24" s="150" customFormat="1" x14ac:dyDescent="0.25">
      <c r="A30" s="436"/>
      <c r="B30" s="185"/>
      <c r="C30" s="186"/>
      <c r="D30" s="186"/>
      <c r="E30" s="449"/>
      <c r="F30" s="335" t="s">
        <v>720</v>
      </c>
      <c r="G30" s="188">
        <v>1</v>
      </c>
      <c r="H30" s="186">
        <v>2025</v>
      </c>
      <c r="I30" s="186">
        <v>300</v>
      </c>
      <c r="J30" s="186">
        <f t="shared" ref="J30:J40" si="19">I30/12</f>
        <v>25</v>
      </c>
      <c r="K30" s="189">
        <f t="shared" ref="K30:K50" si="20">I30/12</f>
        <v>25</v>
      </c>
      <c r="L30" s="189">
        <f t="shared" ref="L30:L50" si="21">N$3-H30</f>
        <v>0</v>
      </c>
      <c r="M30" s="190">
        <f t="shared" ref="M30:M50" si="22">L30/J30</f>
        <v>0</v>
      </c>
      <c r="O30" s="151"/>
      <c r="P30" s="124"/>
      <c r="Q30" s="151"/>
      <c r="R30" s="151"/>
      <c r="S30" s="151"/>
      <c r="T30" s="151"/>
      <c r="U30" s="151"/>
      <c r="V30" s="151"/>
      <c r="W30" s="151"/>
      <c r="X30" s="151"/>
    </row>
    <row r="31" spans="1:24" s="150" customFormat="1" ht="15.75" thickBot="1" x14ac:dyDescent="0.3">
      <c r="A31" s="437"/>
      <c r="B31" s="191"/>
      <c r="C31" s="192"/>
      <c r="D31" s="192"/>
      <c r="E31" s="450"/>
      <c r="F31" s="193"/>
      <c r="G31" s="211"/>
      <c r="H31" s="192"/>
      <c r="I31" s="192"/>
      <c r="J31" s="192"/>
      <c r="K31" s="194"/>
      <c r="L31" s="194"/>
      <c r="M31" s="195"/>
      <c r="O31" s="151"/>
      <c r="P31" s="124"/>
      <c r="Q31" s="151"/>
      <c r="R31" s="151"/>
      <c r="S31" s="151"/>
      <c r="T31" s="151"/>
      <c r="U31" s="151"/>
      <c r="V31" s="151"/>
      <c r="W31" s="151"/>
      <c r="X31" s="151"/>
    </row>
    <row r="32" spans="1:24" s="150" customFormat="1" ht="24" customHeight="1" x14ac:dyDescent="0.25">
      <c r="A32" s="435" t="s">
        <v>377</v>
      </c>
      <c r="B32" s="196"/>
      <c r="C32" s="197"/>
      <c r="D32" s="197"/>
      <c r="E32" s="452" t="s">
        <v>373</v>
      </c>
      <c r="F32" s="207" t="s">
        <v>531</v>
      </c>
      <c r="G32" s="197">
        <v>1</v>
      </c>
      <c r="H32" s="197">
        <v>2019</v>
      </c>
      <c r="I32" s="197">
        <v>300</v>
      </c>
      <c r="J32" s="197">
        <f t="shared" si="19"/>
        <v>25</v>
      </c>
      <c r="K32" s="212">
        <f t="shared" si="20"/>
        <v>25</v>
      </c>
      <c r="L32" s="212">
        <f t="shared" si="21"/>
        <v>6</v>
      </c>
      <c r="M32" s="213">
        <f t="shared" si="22"/>
        <v>0.24</v>
      </c>
      <c r="O32" s="151"/>
      <c r="P32" s="124"/>
      <c r="Q32" s="151"/>
      <c r="R32" s="151"/>
      <c r="S32" s="151"/>
      <c r="T32" s="151"/>
      <c r="U32" s="151"/>
      <c r="V32" s="151"/>
      <c r="W32" s="151"/>
      <c r="X32" s="151"/>
    </row>
    <row r="33" spans="1:24" s="150" customFormat="1" ht="24" customHeight="1" x14ac:dyDescent="0.25">
      <c r="A33" s="447"/>
      <c r="B33" s="185"/>
      <c r="C33" s="186"/>
      <c r="D33" s="186"/>
      <c r="E33" s="449"/>
      <c r="F33" s="335" t="s">
        <v>691</v>
      </c>
      <c r="G33" s="186">
        <v>8</v>
      </c>
      <c r="H33" s="186">
        <v>2025</v>
      </c>
      <c r="I33" s="186">
        <v>300</v>
      </c>
      <c r="J33" s="186">
        <f t="shared" si="19"/>
        <v>25</v>
      </c>
      <c r="K33" s="189">
        <f t="shared" si="20"/>
        <v>25</v>
      </c>
      <c r="L33" s="189">
        <f t="shared" si="21"/>
        <v>0</v>
      </c>
      <c r="M33" s="190">
        <f t="shared" si="22"/>
        <v>0</v>
      </c>
      <c r="O33" s="151"/>
      <c r="P33" s="124"/>
      <c r="Q33" s="151"/>
      <c r="R33" s="151"/>
      <c r="S33" s="151"/>
      <c r="T33" s="151"/>
      <c r="U33" s="151"/>
      <c r="V33" s="151"/>
      <c r="W33" s="151"/>
      <c r="X33" s="151"/>
    </row>
    <row r="34" spans="1:24" s="150" customFormat="1" ht="24" customHeight="1" thickBot="1" x14ac:dyDescent="0.3">
      <c r="A34" s="447"/>
      <c r="B34" s="185"/>
      <c r="C34" s="186"/>
      <c r="D34" s="186"/>
      <c r="E34" s="449"/>
      <c r="F34" s="335" t="s">
        <v>720</v>
      </c>
      <c r="G34" s="186">
        <v>1</v>
      </c>
      <c r="H34" s="186">
        <v>2025</v>
      </c>
      <c r="I34" s="186">
        <v>300</v>
      </c>
      <c r="J34" s="186">
        <f t="shared" si="19"/>
        <v>25</v>
      </c>
      <c r="K34" s="189">
        <f t="shared" si="20"/>
        <v>25</v>
      </c>
      <c r="L34" s="189">
        <f t="shared" si="21"/>
        <v>0</v>
      </c>
      <c r="M34" s="190">
        <f t="shared" si="22"/>
        <v>0</v>
      </c>
      <c r="O34" s="151"/>
      <c r="P34" s="124"/>
      <c r="Q34" s="151"/>
      <c r="R34" s="151"/>
      <c r="S34" s="151"/>
      <c r="T34" s="151"/>
      <c r="U34" s="151"/>
      <c r="V34" s="151"/>
      <c r="W34" s="151"/>
      <c r="X34" s="151"/>
    </row>
    <row r="35" spans="1:24" s="150" customFormat="1" x14ac:dyDescent="0.25">
      <c r="A35" s="435" t="s">
        <v>383</v>
      </c>
      <c r="B35" s="196"/>
      <c r="C35" s="197"/>
      <c r="D35" s="197"/>
      <c r="E35" s="452" t="s">
        <v>378</v>
      </c>
      <c r="F35" s="207" t="s">
        <v>533</v>
      </c>
      <c r="G35" s="197">
        <v>1</v>
      </c>
      <c r="H35" s="197">
        <v>2019</v>
      </c>
      <c r="I35" s="197">
        <v>300</v>
      </c>
      <c r="J35" s="197">
        <f t="shared" si="19"/>
        <v>25</v>
      </c>
      <c r="K35" s="212">
        <f t="shared" si="20"/>
        <v>25</v>
      </c>
      <c r="L35" s="212">
        <f t="shared" si="21"/>
        <v>6</v>
      </c>
      <c r="M35" s="213">
        <f t="shared" si="22"/>
        <v>0.24</v>
      </c>
      <c r="O35" s="151"/>
      <c r="P35" s="124"/>
      <c r="Q35" s="151"/>
      <c r="R35" s="151"/>
      <c r="S35" s="151"/>
      <c r="T35" s="151"/>
      <c r="U35" s="151"/>
      <c r="V35" s="151"/>
      <c r="W35" s="151"/>
      <c r="X35" s="151"/>
    </row>
    <row r="36" spans="1:24" s="150" customFormat="1" x14ac:dyDescent="0.25">
      <c r="A36" s="436"/>
      <c r="B36" s="185"/>
      <c r="C36" s="186"/>
      <c r="D36" s="186"/>
      <c r="E36" s="449"/>
      <c r="F36" s="335" t="s">
        <v>691</v>
      </c>
      <c r="G36" s="186">
        <v>7</v>
      </c>
      <c r="H36" s="186">
        <v>2025</v>
      </c>
      <c r="I36" s="186">
        <v>300</v>
      </c>
      <c r="J36" s="186">
        <f t="shared" si="19"/>
        <v>25</v>
      </c>
      <c r="K36" s="189">
        <f t="shared" si="20"/>
        <v>25</v>
      </c>
      <c r="L36" s="189">
        <f t="shared" si="21"/>
        <v>0</v>
      </c>
      <c r="M36" s="190">
        <f t="shared" si="22"/>
        <v>0</v>
      </c>
      <c r="O36" s="151"/>
      <c r="P36" s="124"/>
      <c r="Q36" s="151"/>
      <c r="R36" s="151"/>
      <c r="S36" s="151"/>
      <c r="T36" s="151"/>
      <c r="U36" s="151"/>
      <c r="V36" s="151"/>
      <c r="W36" s="151"/>
      <c r="X36" s="151"/>
    </row>
    <row r="37" spans="1:24" s="150" customFormat="1" ht="15.75" thickBot="1" x14ac:dyDescent="0.3">
      <c r="A37" s="437"/>
      <c r="B37" s="191"/>
      <c r="C37" s="192"/>
      <c r="D37" s="192"/>
      <c r="E37" s="450"/>
      <c r="F37" s="334" t="s">
        <v>720</v>
      </c>
      <c r="G37" s="192">
        <v>1</v>
      </c>
      <c r="H37" s="192">
        <v>2025</v>
      </c>
      <c r="I37" s="192">
        <v>300</v>
      </c>
      <c r="J37" s="192">
        <f t="shared" si="19"/>
        <v>25</v>
      </c>
      <c r="K37" s="194">
        <f t="shared" si="20"/>
        <v>25</v>
      </c>
      <c r="L37" s="194">
        <f t="shared" si="21"/>
        <v>0</v>
      </c>
      <c r="M37" s="195">
        <f t="shared" si="22"/>
        <v>0</v>
      </c>
      <c r="O37" s="151"/>
      <c r="P37" s="124"/>
      <c r="Q37" s="151"/>
      <c r="R37" s="151"/>
      <c r="S37" s="151"/>
      <c r="T37" s="151"/>
      <c r="U37" s="151"/>
      <c r="V37" s="151"/>
      <c r="W37" s="151"/>
      <c r="X37" s="151"/>
    </row>
    <row r="38" spans="1:24" s="150" customFormat="1" x14ac:dyDescent="0.25">
      <c r="A38" s="435" t="s">
        <v>390</v>
      </c>
      <c r="B38" s="196"/>
      <c r="C38" s="197"/>
      <c r="D38" s="197"/>
      <c r="E38" s="462" t="s">
        <v>534</v>
      </c>
      <c r="F38" s="207" t="s">
        <v>531</v>
      </c>
      <c r="G38" s="197">
        <v>1</v>
      </c>
      <c r="H38" s="197">
        <v>2019</v>
      </c>
      <c r="I38" s="197">
        <v>300</v>
      </c>
      <c r="J38" s="197">
        <f t="shared" si="19"/>
        <v>25</v>
      </c>
      <c r="K38" s="212">
        <f t="shared" si="20"/>
        <v>25</v>
      </c>
      <c r="L38" s="212">
        <f t="shared" si="21"/>
        <v>6</v>
      </c>
      <c r="M38" s="213">
        <f t="shared" si="22"/>
        <v>0.24</v>
      </c>
      <c r="O38" s="151"/>
      <c r="P38" s="124"/>
      <c r="Q38" s="151"/>
      <c r="R38" s="151"/>
      <c r="S38" s="151"/>
      <c r="T38" s="151"/>
      <c r="U38" s="151"/>
      <c r="V38" s="151"/>
      <c r="W38" s="151"/>
      <c r="X38" s="151"/>
    </row>
    <row r="39" spans="1:24" s="150" customFormat="1" x14ac:dyDescent="0.25">
      <c r="A39" s="446"/>
      <c r="B39" s="185"/>
      <c r="C39" s="186"/>
      <c r="D39" s="186"/>
      <c r="E39" s="463"/>
      <c r="F39" s="187" t="s">
        <v>535</v>
      </c>
      <c r="G39" s="188">
        <v>7</v>
      </c>
      <c r="H39" s="186">
        <v>1963</v>
      </c>
      <c r="I39" s="186">
        <v>300</v>
      </c>
      <c r="J39" s="186">
        <f t="shared" si="19"/>
        <v>25</v>
      </c>
      <c r="K39" s="189">
        <f t="shared" si="20"/>
        <v>25</v>
      </c>
      <c r="L39" s="189">
        <f t="shared" si="21"/>
        <v>62</v>
      </c>
      <c r="M39" s="190">
        <f t="shared" si="22"/>
        <v>2.48</v>
      </c>
      <c r="O39" s="151"/>
      <c r="P39" s="124"/>
      <c r="Q39" s="151"/>
      <c r="R39" s="151"/>
      <c r="S39" s="151"/>
      <c r="T39" s="151"/>
      <c r="U39" s="151"/>
      <c r="V39" s="151"/>
      <c r="W39" s="151"/>
      <c r="X39" s="151"/>
    </row>
    <row r="40" spans="1:24" s="150" customFormat="1" x14ac:dyDescent="0.25">
      <c r="A40" s="446"/>
      <c r="B40" s="185"/>
      <c r="C40" s="186"/>
      <c r="D40" s="186"/>
      <c r="E40" s="463"/>
      <c r="F40" s="187" t="s">
        <v>536</v>
      </c>
      <c r="G40" s="188">
        <v>1</v>
      </c>
      <c r="H40" s="186">
        <v>1963</v>
      </c>
      <c r="I40" s="186">
        <v>300</v>
      </c>
      <c r="J40" s="186">
        <f t="shared" si="19"/>
        <v>25</v>
      </c>
      <c r="K40" s="189">
        <f t="shared" si="20"/>
        <v>25</v>
      </c>
      <c r="L40" s="189">
        <f t="shared" si="21"/>
        <v>62</v>
      </c>
      <c r="M40" s="190">
        <f t="shared" si="22"/>
        <v>2.48</v>
      </c>
      <c r="O40" s="151"/>
      <c r="P40" s="124"/>
      <c r="Q40" s="151"/>
      <c r="R40" s="151"/>
      <c r="S40" s="151"/>
      <c r="T40" s="151"/>
      <c r="U40" s="151"/>
      <c r="V40" s="151"/>
      <c r="W40" s="151"/>
      <c r="X40" s="151"/>
    </row>
    <row r="41" spans="1:24" s="150" customFormat="1" ht="15.75" thickBot="1" x14ac:dyDescent="0.3">
      <c r="A41" s="437"/>
      <c r="B41" s="191"/>
      <c r="C41" s="192"/>
      <c r="D41" s="192"/>
      <c r="E41" s="464"/>
      <c r="F41" s="193" t="s">
        <v>537</v>
      </c>
      <c r="G41" s="211">
        <v>1</v>
      </c>
      <c r="H41" s="192">
        <v>1963</v>
      </c>
      <c r="I41" s="192">
        <v>300</v>
      </c>
      <c r="J41" s="192">
        <f>I41/12</f>
        <v>25</v>
      </c>
      <c r="K41" s="194">
        <f t="shared" si="20"/>
        <v>25</v>
      </c>
      <c r="L41" s="194">
        <f t="shared" si="21"/>
        <v>62</v>
      </c>
      <c r="M41" s="195">
        <f t="shared" si="22"/>
        <v>2.48</v>
      </c>
      <c r="O41" s="151"/>
      <c r="P41" s="124"/>
      <c r="Q41" s="151"/>
      <c r="R41" s="151"/>
      <c r="S41" s="151"/>
      <c r="T41" s="151"/>
      <c r="U41" s="151"/>
      <c r="V41" s="151"/>
      <c r="W41" s="151"/>
      <c r="X41" s="151"/>
    </row>
    <row r="42" spans="1:24" s="150" customFormat="1" x14ac:dyDescent="0.25">
      <c r="A42" s="435" t="s">
        <v>398</v>
      </c>
      <c r="B42" s="196"/>
      <c r="C42" s="197"/>
      <c r="D42" s="197"/>
      <c r="E42" s="452" t="s">
        <v>384</v>
      </c>
      <c r="F42" s="207" t="s">
        <v>538</v>
      </c>
      <c r="G42" s="197">
        <v>1</v>
      </c>
      <c r="H42" s="197">
        <v>2019</v>
      </c>
      <c r="I42" s="197">
        <v>300</v>
      </c>
      <c r="J42" s="197">
        <f>I42/12</f>
        <v>25</v>
      </c>
      <c r="K42" s="212">
        <f t="shared" si="20"/>
        <v>25</v>
      </c>
      <c r="L42" s="212">
        <f t="shared" si="21"/>
        <v>6</v>
      </c>
      <c r="M42" s="213">
        <f t="shared" si="22"/>
        <v>0.24</v>
      </c>
      <c r="O42" s="161"/>
      <c r="P42" s="124"/>
      <c r="Q42" s="161"/>
      <c r="R42" s="161"/>
      <c r="S42" s="161"/>
      <c r="T42" s="151"/>
      <c r="U42" s="151"/>
      <c r="V42" s="151"/>
      <c r="W42" s="151"/>
      <c r="X42" s="151"/>
    </row>
    <row r="43" spans="1:24" s="150" customFormat="1" x14ac:dyDescent="0.25">
      <c r="A43" s="436"/>
      <c r="B43" s="185"/>
      <c r="C43" s="186"/>
      <c r="D43" s="186"/>
      <c r="E43" s="449"/>
      <c r="F43" s="187" t="s">
        <v>539</v>
      </c>
      <c r="G43" s="186">
        <v>1</v>
      </c>
      <c r="H43" s="186">
        <v>2019</v>
      </c>
      <c r="I43" s="186">
        <v>300</v>
      </c>
      <c r="J43" s="186">
        <f>I43/12</f>
        <v>25</v>
      </c>
      <c r="K43" s="189">
        <f t="shared" si="20"/>
        <v>25</v>
      </c>
      <c r="L43" s="189">
        <f t="shared" si="21"/>
        <v>6</v>
      </c>
      <c r="M43" s="190">
        <f t="shared" si="22"/>
        <v>0.24</v>
      </c>
      <c r="O43" s="162"/>
      <c r="P43" s="124"/>
      <c r="Q43" s="162"/>
      <c r="R43" s="162"/>
      <c r="S43" s="162"/>
    </row>
    <row r="44" spans="1:24" s="150" customFormat="1" x14ac:dyDescent="0.25">
      <c r="A44" s="451"/>
      <c r="B44" s="185"/>
      <c r="C44" s="186"/>
      <c r="D44" s="186"/>
      <c r="E44" s="449"/>
      <c r="F44" s="187" t="s">
        <v>540</v>
      </c>
      <c r="G44" s="186">
        <v>6</v>
      </c>
      <c r="H44" s="186">
        <v>1970</v>
      </c>
      <c r="I44" s="186">
        <v>300</v>
      </c>
      <c r="J44" s="186">
        <f>I44/12</f>
        <v>25</v>
      </c>
      <c r="K44" s="189">
        <f t="shared" si="20"/>
        <v>25</v>
      </c>
      <c r="L44" s="189">
        <f t="shared" si="21"/>
        <v>55</v>
      </c>
      <c r="M44" s="190">
        <f t="shared" si="22"/>
        <v>2.2000000000000002</v>
      </c>
      <c r="O44" s="162"/>
      <c r="P44" s="124"/>
      <c r="Q44" s="162"/>
      <c r="R44" s="162"/>
      <c r="S44" s="162"/>
    </row>
    <row r="45" spans="1:24" s="150" customFormat="1" ht="15.75" thickBot="1" x14ac:dyDescent="0.3">
      <c r="A45" s="437"/>
      <c r="B45" s="191"/>
      <c r="C45" s="192"/>
      <c r="D45" s="192"/>
      <c r="E45" s="450"/>
      <c r="F45" s="193" t="s">
        <v>541</v>
      </c>
      <c r="G45" s="192">
        <v>6</v>
      </c>
      <c r="H45" s="192">
        <v>1970</v>
      </c>
      <c r="I45" s="192">
        <v>300</v>
      </c>
      <c r="J45" s="192">
        <f t="shared" ref="J45:J50" si="23">I45/12</f>
        <v>25</v>
      </c>
      <c r="K45" s="194">
        <f t="shared" si="20"/>
        <v>25</v>
      </c>
      <c r="L45" s="194">
        <f t="shared" si="21"/>
        <v>55</v>
      </c>
      <c r="M45" s="195">
        <f t="shared" si="22"/>
        <v>2.2000000000000002</v>
      </c>
      <c r="O45" s="162"/>
      <c r="P45" s="124"/>
      <c r="Q45" s="162"/>
      <c r="R45" s="162"/>
      <c r="S45" s="162"/>
    </row>
    <row r="46" spans="1:24" s="150" customFormat="1" x14ac:dyDescent="0.25">
      <c r="A46" s="435" t="s">
        <v>405</v>
      </c>
      <c r="B46" s="196"/>
      <c r="C46" s="197"/>
      <c r="D46" s="197"/>
      <c r="E46" s="452" t="s">
        <v>391</v>
      </c>
      <c r="F46" s="207" t="s">
        <v>538</v>
      </c>
      <c r="G46" s="197">
        <v>1</v>
      </c>
      <c r="H46" s="197">
        <v>2019</v>
      </c>
      <c r="I46" s="197">
        <v>300</v>
      </c>
      <c r="J46" s="197">
        <f t="shared" si="23"/>
        <v>25</v>
      </c>
      <c r="K46" s="212">
        <f t="shared" si="20"/>
        <v>25</v>
      </c>
      <c r="L46" s="212">
        <f t="shared" si="21"/>
        <v>6</v>
      </c>
      <c r="M46" s="213">
        <f t="shared" si="22"/>
        <v>0.24</v>
      </c>
      <c r="O46" s="162"/>
      <c r="P46" s="124"/>
      <c r="Q46" s="162"/>
      <c r="R46" s="162"/>
      <c r="S46" s="162"/>
    </row>
    <row r="47" spans="1:24" s="150" customFormat="1" x14ac:dyDescent="0.25">
      <c r="A47" s="436"/>
      <c r="B47" s="185"/>
      <c r="C47" s="186"/>
      <c r="D47" s="186"/>
      <c r="E47" s="449"/>
      <c r="F47" s="187" t="s">
        <v>542</v>
      </c>
      <c r="G47" s="186">
        <v>1</v>
      </c>
      <c r="H47" s="186">
        <v>2019</v>
      </c>
      <c r="I47" s="186">
        <v>300</v>
      </c>
      <c r="J47" s="186">
        <f t="shared" si="23"/>
        <v>25</v>
      </c>
      <c r="K47" s="189">
        <f t="shared" si="20"/>
        <v>25</v>
      </c>
      <c r="L47" s="189">
        <f t="shared" si="21"/>
        <v>6</v>
      </c>
      <c r="M47" s="190">
        <f t="shared" si="22"/>
        <v>0.24</v>
      </c>
      <c r="O47" s="162"/>
      <c r="P47" s="124"/>
      <c r="Q47" s="162"/>
      <c r="R47" s="162"/>
      <c r="S47" s="162"/>
    </row>
    <row r="48" spans="1:24" s="150" customFormat="1" x14ac:dyDescent="0.25">
      <c r="A48" s="436"/>
      <c r="B48" s="185"/>
      <c r="C48" s="186"/>
      <c r="D48" s="186"/>
      <c r="E48" s="449"/>
      <c r="F48" s="187" t="s">
        <v>543</v>
      </c>
      <c r="G48" s="186">
        <v>6</v>
      </c>
      <c r="H48" s="186">
        <v>1971</v>
      </c>
      <c r="I48" s="186">
        <v>300</v>
      </c>
      <c r="J48" s="186">
        <f t="shared" si="23"/>
        <v>25</v>
      </c>
      <c r="K48" s="189">
        <f t="shared" si="20"/>
        <v>25</v>
      </c>
      <c r="L48" s="189">
        <f t="shared" si="21"/>
        <v>54</v>
      </c>
      <c r="M48" s="190">
        <f t="shared" si="22"/>
        <v>2.16</v>
      </c>
      <c r="O48" s="162"/>
      <c r="P48" s="124"/>
      <c r="Q48" s="162"/>
      <c r="R48" s="162"/>
      <c r="S48" s="162"/>
    </row>
    <row r="49" spans="1:19" s="150" customFormat="1" ht="15.75" thickBot="1" x14ac:dyDescent="0.3">
      <c r="A49" s="437"/>
      <c r="B49" s="191"/>
      <c r="C49" s="192"/>
      <c r="D49" s="192"/>
      <c r="E49" s="450"/>
      <c r="F49" s="193" t="s">
        <v>537</v>
      </c>
      <c r="G49" s="192">
        <v>6</v>
      </c>
      <c r="H49" s="192">
        <v>1971</v>
      </c>
      <c r="I49" s="192">
        <v>300</v>
      </c>
      <c r="J49" s="192">
        <f t="shared" si="23"/>
        <v>25</v>
      </c>
      <c r="K49" s="194">
        <f t="shared" si="20"/>
        <v>25</v>
      </c>
      <c r="L49" s="194">
        <f t="shared" si="21"/>
        <v>54</v>
      </c>
      <c r="M49" s="195">
        <f t="shared" si="22"/>
        <v>2.16</v>
      </c>
      <c r="O49" s="162"/>
      <c r="P49" s="124"/>
      <c r="Q49" s="162"/>
      <c r="R49" s="162"/>
      <c r="S49" s="162"/>
    </row>
    <row r="50" spans="1:19" s="150" customFormat="1" x14ac:dyDescent="0.25">
      <c r="A50" s="435" t="s">
        <v>412</v>
      </c>
      <c r="B50" s="196"/>
      <c r="C50" s="197"/>
      <c r="D50" s="197"/>
      <c r="E50" s="452" t="s">
        <v>399</v>
      </c>
      <c r="F50" s="207" t="s">
        <v>544</v>
      </c>
      <c r="G50" s="197">
        <v>1</v>
      </c>
      <c r="H50" s="197">
        <v>2019</v>
      </c>
      <c r="I50" s="197">
        <v>300</v>
      </c>
      <c r="J50" s="197">
        <f t="shared" si="23"/>
        <v>25</v>
      </c>
      <c r="K50" s="212">
        <f t="shared" si="20"/>
        <v>25</v>
      </c>
      <c r="L50" s="212">
        <f t="shared" si="21"/>
        <v>6</v>
      </c>
      <c r="M50" s="213">
        <f t="shared" si="22"/>
        <v>0.24</v>
      </c>
      <c r="P50" s="124"/>
    </row>
    <row r="51" spans="1:19" s="150" customFormat="1" x14ac:dyDescent="0.25">
      <c r="A51" s="446"/>
      <c r="B51" s="185"/>
      <c r="C51" s="186"/>
      <c r="D51" s="186"/>
      <c r="E51" s="449"/>
      <c r="F51" s="187" t="s">
        <v>545</v>
      </c>
      <c r="G51" s="186">
        <v>1</v>
      </c>
      <c r="H51" s="186">
        <v>2019</v>
      </c>
      <c r="I51" s="186">
        <v>300</v>
      </c>
      <c r="J51" s="186">
        <f>I51/12</f>
        <v>25</v>
      </c>
      <c r="K51" s="189">
        <f>I51/12</f>
        <v>25</v>
      </c>
      <c r="L51" s="189">
        <f>N$3-H51</f>
        <v>6</v>
      </c>
      <c r="M51" s="190">
        <f>L51/J51</f>
        <v>0.24</v>
      </c>
      <c r="P51" s="124"/>
    </row>
    <row r="52" spans="1:19" s="150" customFormat="1" x14ac:dyDescent="0.25">
      <c r="A52" s="436"/>
      <c r="B52" s="185"/>
      <c r="C52" s="186"/>
      <c r="D52" s="186"/>
      <c r="E52" s="449"/>
      <c r="F52" s="187" t="s">
        <v>546</v>
      </c>
      <c r="G52" s="186">
        <v>7</v>
      </c>
      <c r="H52" s="186">
        <v>2019</v>
      </c>
      <c r="I52" s="186">
        <v>300</v>
      </c>
      <c r="J52" s="186">
        <f>I52/12</f>
        <v>25</v>
      </c>
      <c r="K52" s="189">
        <f>I52/12</f>
        <v>25</v>
      </c>
      <c r="L52" s="189">
        <f>N$3-H52</f>
        <v>6</v>
      </c>
      <c r="M52" s="190">
        <f>L52/J52</f>
        <v>0.24</v>
      </c>
      <c r="P52" s="124"/>
    </row>
    <row r="53" spans="1:19" s="150" customFormat="1" ht="15.75" thickBot="1" x14ac:dyDescent="0.3">
      <c r="A53" s="437"/>
      <c r="B53" s="191"/>
      <c r="C53" s="192"/>
      <c r="D53" s="192"/>
      <c r="E53" s="450"/>
      <c r="F53" s="193" t="s">
        <v>547</v>
      </c>
      <c r="G53" s="192">
        <v>1</v>
      </c>
      <c r="H53" s="192">
        <v>2019</v>
      </c>
      <c r="I53" s="192">
        <v>300</v>
      </c>
      <c r="J53" s="192">
        <f>I53/12</f>
        <v>25</v>
      </c>
      <c r="K53" s="194">
        <f>I53/12</f>
        <v>25</v>
      </c>
      <c r="L53" s="194">
        <f>N$3-H53</f>
        <v>6</v>
      </c>
      <c r="M53" s="195">
        <f>L53/J53</f>
        <v>0.24</v>
      </c>
      <c r="P53" s="124"/>
    </row>
    <row r="54" spans="1:19" s="150" customFormat="1" x14ac:dyDescent="0.25">
      <c r="A54" s="435" t="s">
        <v>421</v>
      </c>
      <c r="B54" s="196"/>
      <c r="C54" s="197"/>
      <c r="D54" s="197"/>
      <c r="E54" s="452" t="s">
        <v>406</v>
      </c>
      <c r="F54" s="207" t="s">
        <v>531</v>
      </c>
      <c r="G54" s="197">
        <v>1</v>
      </c>
      <c r="H54" s="197">
        <v>2019</v>
      </c>
      <c r="I54" s="197">
        <v>300</v>
      </c>
      <c r="J54" s="197">
        <f>I54/12</f>
        <v>25</v>
      </c>
      <c r="K54" s="212">
        <f>I54/12</f>
        <v>25</v>
      </c>
      <c r="L54" s="212">
        <f>N$3-H54</f>
        <v>6</v>
      </c>
      <c r="M54" s="213">
        <f>L54/J54</f>
        <v>0.24</v>
      </c>
      <c r="P54" s="124"/>
    </row>
    <row r="55" spans="1:19" s="150" customFormat="1" x14ac:dyDescent="0.25">
      <c r="A55" s="436"/>
      <c r="B55" s="185"/>
      <c r="C55" s="186"/>
      <c r="D55" s="186"/>
      <c r="E55" s="449"/>
      <c r="F55" s="187" t="s">
        <v>527</v>
      </c>
      <c r="G55" s="186">
        <v>1</v>
      </c>
      <c r="H55" s="186">
        <v>2010</v>
      </c>
      <c r="I55" s="186">
        <v>300</v>
      </c>
      <c r="J55" s="186">
        <f>I55/12</f>
        <v>25</v>
      </c>
      <c r="K55" s="189">
        <f>I55/12</f>
        <v>25</v>
      </c>
      <c r="L55" s="189">
        <f>N$3-H55</f>
        <v>15</v>
      </c>
      <c r="M55" s="190">
        <f>L55/J55</f>
        <v>0.6</v>
      </c>
      <c r="P55" s="124"/>
    </row>
    <row r="56" spans="1:19" s="150" customFormat="1" ht="15.75" thickBot="1" x14ac:dyDescent="0.3">
      <c r="A56" s="437"/>
      <c r="B56" s="191"/>
      <c r="C56" s="192"/>
      <c r="D56" s="192"/>
      <c r="E56" s="450"/>
      <c r="F56" s="193" t="s">
        <v>548</v>
      </c>
      <c r="G56" s="192">
        <v>12</v>
      </c>
      <c r="H56" s="192">
        <v>1976</v>
      </c>
      <c r="I56" s="208">
        <v>300</v>
      </c>
      <c r="J56" s="208">
        <f t="shared" ref="J56" si="24">I56/12</f>
        <v>25</v>
      </c>
      <c r="K56" s="314">
        <f t="shared" ref="K56" si="25">I56/12</f>
        <v>25</v>
      </c>
      <c r="L56" s="314">
        <f t="shared" ref="L56" si="26">N$3-H56</f>
        <v>49</v>
      </c>
      <c r="M56" s="315">
        <f t="shared" ref="M56" si="27">L56/J56</f>
        <v>1.96</v>
      </c>
      <c r="P56" s="124"/>
    </row>
    <row r="57" spans="1:19" s="150" customFormat="1" x14ac:dyDescent="0.25">
      <c r="A57" s="435" t="s">
        <v>426</v>
      </c>
      <c r="B57" s="196"/>
      <c r="C57" s="197"/>
      <c r="D57" s="197"/>
      <c r="E57" s="455" t="s">
        <v>549</v>
      </c>
      <c r="F57" s="207" t="s">
        <v>544</v>
      </c>
      <c r="G57" s="197">
        <v>1</v>
      </c>
      <c r="H57" s="197">
        <v>2019</v>
      </c>
      <c r="I57" s="197">
        <v>300</v>
      </c>
      <c r="J57" s="197">
        <f>I57/12</f>
        <v>25</v>
      </c>
      <c r="K57" s="212">
        <f>I57/12</f>
        <v>25</v>
      </c>
      <c r="L57" s="212">
        <f>N$3-H57</f>
        <v>6</v>
      </c>
      <c r="M57" s="213">
        <f>L57/J57</f>
        <v>0.24</v>
      </c>
      <c r="P57" s="124"/>
    </row>
    <row r="58" spans="1:19" s="150" customFormat="1" x14ac:dyDescent="0.25">
      <c r="A58" s="436"/>
      <c r="B58" s="185"/>
      <c r="C58" s="186"/>
      <c r="D58" s="186"/>
      <c r="E58" s="457"/>
      <c r="F58" s="187" t="s">
        <v>550</v>
      </c>
      <c r="G58" s="186">
        <v>1</v>
      </c>
      <c r="H58" s="186">
        <v>2020</v>
      </c>
      <c r="I58" s="186">
        <v>300</v>
      </c>
      <c r="J58" s="186">
        <f>I58/12</f>
        <v>25</v>
      </c>
      <c r="K58" s="189">
        <f>I58/12</f>
        <v>25</v>
      </c>
      <c r="L58" s="189">
        <f>N$3-H58</f>
        <v>5</v>
      </c>
      <c r="M58" s="190">
        <f>L58/J58</f>
        <v>0.2</v>
      </c>
      <c r="P58" s="124"/>
    </row>
    <row r="59" spans="1:19" s="150" customFormat="1" x14ac:dyDescent="0.25">
      <c r="A59" s="436"/>
      <c r="B59" s="185"/>
      <c r="C59" s="186"/>
      <c r="D59" s="186"/>
      <c r="E59" s="457"/>
      <c r="F59" s="187" t="s">
        <v>551</v>
      </c>
      <c r="G59" s="186">
        <v>11</v>
      </c>
      <c r="H59" s="186">
        <v>1976</v>
      </c>
      <c r="I59" s="186">
        <v>300</v>
      </c>
      <c r="J59" s="186">
        <f>I59/12</f>
        <v>25</v>
      </c>
      <c r="K59" s="189">
        <f>I59/12</f>
        <v>25</v>
      </c>
      <c r="L59" s="189">
        <f>N$3-H59</f>
        <v>49</v>
      </c>
      <c r="M59" s="190">
        <f>L59/J59</f>
        <v>1.96</v>
      </c>
      <c r="P59" s="124"/>
    </row>
    <row r="60" spans="1:19" s="150" customFormat="1" ht="15.75" thickBot="1" x14ac:dyDescent="0.3">
      <c r="A60" s="437"/>
      <c r="B60" s="191"/>
      <c r="C60" s="192"/>
      <c r="D60" s="192"/>
      <c r="E60" s="458"/>
      <c r="F60" s="193" t="s">
        <v>552</v>
      </c>
      <c r="G60" s="192">
        <v>1</v>
      </c>
      <c r="H60" s="192">
        <v>1976</v>
      </c>
      <c r="I60" s="192">
        <v>300</v>
      </c>
      <c r="J60" s="192">
        <f>I60/12</f>
        <v>25</v>
      </c>
      <c r="K60" s="194">
        <f>I60/12</f>
        <v>25</v>
      </c>
      <c r="L60" s="194">
        <f>N$3-H60</f>
        <v>49</v>
      </c>
      <c r="M60" s="195">
        <f>L60/J60</f>
        <v>1.96</v>
      </c>
      <c r="P60" s="124"/>
    </row>
    <row r="61" spans="1:19" s="166" customFormat="1" ht="14.25" x14ac:dyDescent="0.2">
      <c r="A61" s="435" t="s">
        <v>431</v>
      </c>
      <c r="B61" s="196"/>
      <c r="C61" s="197"/>
      <c r="D61" s="197"/>
      <c r="E61" s="452" t="s">
        <v>413</v>
      </c>
      <c r="F61" s="207" t="s">
        <v>553</v>
      </c>
      <c r="G61" s="200">
        <v>7</v>
      </c>
      <c r="H61" s="197">
        <v>2019</v>
      </c>
      <c r="I61" s="197">
        <v>300</v>
      </c>
      <c r="J61" s="197">
        <f>I61/12</f>
        <v>25</v>
      </c>
      <c r="K61" s="212">
        <f>I61/12</f>
        <v>25</v>
      </c>
      <c r="L61" s="212">
        <f>N$3-H61</f>
        <v>6</v>
      </c>
      <c r="M61" s="213">
        <f>L61/J61</f>
        <v>0.24</v>
      </c>
      <c r="P61" s="124"/>
    </row>
    <row r="62" spans="1:19" s="166" customFormat="1" ht="14.25" x14ac:dyDescent="0.2">
      <c r="A62" s="446"/>
      <c r="B62" s="329"/>
      <c r="C62" s="330"/>
      <c r="D62" s="330"/>
      <c r="E62" s="448"/>
      <c r="F62" s="336" t="s">
        <v>693</v>
      </c>
      <c r="G62" s="332">
        <v>1</v>
      </c>
      <c r="H62" s="330">
        <v>2024</v>
      </c>
      <c r="I62" s="186">
        <v>300</v>
      </c>
      <c r="J62" s="186">
        <f t="shared" ref="J62" si="28">I62/12</f>
        <v>25</v>
      </c>
      <c r="K62" s="189">
        <f t="shared" ref="K62" si="29">I62/12</f>
        <v>25</v>
      </c>
      <c r="L62" s="189">
        <f t="shared" ref="L62" si="30">N$3-H62</f>
        <v>1</v>
      </c>
      <c r="M62" s="190">
        <f t="shared" ref="M62" si="31">L62/J62</f>
        <v>0.04</v>
      </c>
      <c r="P62" s="124"/>
    </row>
    <row r="63" spans="1:19" s="166" customFormat="1" ht="14.25" x14ac:dyDescent="0.2">
      <c r="A63" s="446"/>
      <c r="B63" s="185"/>
      <c r="C63" s="186"/>
      <c r="D63" s="186"/>
      <c r="E63" s="449"/>
      <c r="F63" s="187" t="s">
        <v>554</v>
      </c>
      <c r="G63" s="188">
        <v>2</v>
      </c>
      <c r="H63" s="186">
        <v>2019</v>
      </c>
      <c r="I63" s="186">
        <v>300</v>
      </c>
      <c r="J63" s="186">
        <f t="shared" ref="J63:J67" si="32">I63/12</f>
        <v>25</v>
      </c>
      <c r="K63" s="189">
        <f t="shared" ref="K63:K67" si="33">I63/12</f>
        <v>25</v>
      </c>
      <c r="L63" s="189">
        <f t="shared" ref="L63:L67" si="34">N$3-H63</f>
        <v>6</v>
      </c>
      <c r="M63" s="190">
        <f t="shared" ref="M63:M67" si="35">L63/J63</f>
        <v>0.24</v>
      </c>
      <c r="P63" s="124"/>
    </row>
    <row r="64" spans="1:19" s="166" customFormat="1" ht="14.25" x14ac:dyDescent="0.2">
      <c r="A64" s="446"/>
      <c r="B64" s="185"/>
      <c r="C64" s="186"/>
      <c r="D64" s="186"/>
      <c r="E64" s="449"/>
      <c r="F64" s="187" t="s">
        <v>555</v>
      </c>
      <c r="G64" s="188">
        <v>4</v>
      </c>
      <c r="H64" s="186">
        <v>2019</v>
      </c>
      <c r="I64" s="186">
        <v>300</v>
      </c>
      <c r="J64" s="186">
        <f t="shared" si="32"/>
        <v>25</v>
      </c>
      <c r="K64" s="189">
        <f t="shared" si="33"/>
        <v>25</v>
      </c>
      <c r="L64" s="189">
        <f t="shared" si="34"/>
        <v>6</v>
      </c>
      <c r="M64" s="190">
        <f t="shared" si="35"/>
        <v>0.24</v>
      </c>
      <c r="P64" s="124"/>
    </row>
    <row r="65" spans="1:16" s="166" customFormat="1" ht="14.25" x14ac:dyDescent="0.2">
      <c r="A65" s="446"/>
      <c r="B65" s="185"/>
      <c r="C65" s="186"/>
      <c r="D65" s="186"/>
      <c r="E65" s="449"/>
      <c r="F65" s="187" t="s">
        <v>724</v>
      </c>
      <c r="G65" s="188">
        <v>10</v>
      </c>
      <c r="H65" s="186">
        <v>2023</v>
      </c>
      <c r="I65" s="186">
        <v>300</v>
      </c>
      <c r="J65" s="186">
        <f t="shared" si="32"/>
        <v>25</v>
      </c>
      <c r="K65" s="189">
        <f t="shared" si="33"/>
        <v>25</v>
      </c>
      <c r="L65" s="189">
        <f t="shared" si="34"/>
        <v>2</v>
      </c>
      <c r="M65" s="190">
        <f t="shared" si="35"/>
        <v>0.08</v>
      </c>
      <c r="P65" s="124"/>
    </row>
    <row r="66" spans="1:16" s="166" customFormat="1" ht="14.25" x14ac:dyDescent="0.2">
      <c r="A66" s="446"/>
      <c r="B66" s="185"/>
      <c r="C66" s="186"/>
      <c r="D66" s="186"/>
      <c r="E66" s="449"/>
      <c r="F66" s="334" t="s">
        <v>691</v>
      </c>
      <c r="G66" s="188">
        <v>3</v>
      </c>
      <c r="H66" s="186">
        <v>2024</v>
      </c>
      <c r="I66" s="186">
        <v>300</v>
      </c>
      <c r="J66" s="186">
        <f t="shared" ref="J66" si="36">I66/12</f>
        <v>25</v>
      </c>
      <c r="K66" s="189">
        <f t="shared" ref="K66" si="37">I66/12</f>
        <v>25</v>
      </c>
      <c r="L66" s="189">
        <f t="shared" ref="L66" si="38">N$3-H66</f>
        <v>1</v>
      </c>
      <c r="M66" s="190">
        <f t="shared" ref="M66" si="39">L66/J66</f>
        <v>0.04</v>
      </c>
      <c r="P66" s="124"/>
    </row>
    <row r="67" spans="1:16" s="166" customFormat="1" ht="14.25" x14ac:dyDescent="0.2">
      <c r="A67" s="446"/>
      <c r="B67" s="185"/>
      <c r="C67" s="186"/>
      <c r="D67" s="186"/>
      <c r="E67" s="449"/>
      <c r="F67" s="187" t="s">
        <v>557</v>
      </c>
      <c r="G67" s="188">
        <v>1</v>
      </c>
      <c r="H67" s="186">
        <v>2017</v>
      </c>
      <c r="I67" s="186">
        <v>300</v>
      </c>
      <c r="J67" s="186">
        <f t="shared" si="32"/>
        <v>25</v>
      </c>
      <c r="K67" s="189">
        <f t="shared" si="33"/>
        <v>25</v>
      </c>
      <c r="L67" s="189">
        <f t="shared" si="34"/>
        <v>8</v>
      </c>
      <c r="M67" s="190">
        <f t="shared" si="35"/>
        <v>0.32</v>
      </c>
      <c r="P67" s="124"/>
    </row>
    <row r="68" spans="1:16" s="166" customFormat="1" ht="14.25" x14ac:dyDescent="0.2">
      <c r="A68" s="436"/>
      <c r="B68" s="185"/>
      <c r="C68" s="186"/>
      <c r="D68" s="186"/>
      <c r="E68" s="449"/>
      <c r="F68" s="187" t="s">
        <v>558</v>
      </c>
      <c r="G68" s="188">
        <v>1</v>
      </c>
      <c r="H68" s="186">
        <v>2023</v>
      </c>
      <c r="I68" s="186">
        <v>300</v>
      </c>
      <c r="J68" s="186">
        <f>I68/12</f>
        <v>25</v>
      </c>
      <c r="K68" s="189">
        <f>I68/12</f>
        <v>25</v>
      </c>
      <c r="L68" s="189">
        <f>N$3-H68</f>
        <v>2</v>
      </c>
      <c r="M68" s="190">
        <f>L68/J68</f>
        <v>0.08</v>
      </c>
      <c r="P68" s="124"/>
    </row>
    <row r="69" spans="1:16" s="166" customFormat="1" ht="14.25" x14ac:dyDescent="0.2">
      <c r="A69" s="436"/>
      <c r="B69" s="185"/>
      <c r="C69" s="186"/>
      <c r="D69" s="186"/>
      <c r="E69" s="449"/>
      <c r="F69" s="187" t="s">
        <v>559</v>
      </c>
      <c r="G69" s="188">
        <v>1</v>
      </c>
      <c r="H69" s="186">
        <v>2023</v>
      </c>
      <c r="I69" s="186">
        <v>300</v>
      </c>
      <c r="J69" s="186">
        <f>I69/12</f>
        <v>25</v>
      </c>
      <c r="K69" s="189">
        <f>I69/12</f>
        <v>25</v>
      </c>
      <c r="L69" s="189">
        <f>N$3-H69</f>
        <v>2</v>
      </c>
      <c r="M69" s="190">
        <f>L69/J69</f>
        <v>0.08</v>
      </c>
      <c r="P69" s="124"/>
    </row>
    <row r="70" spans="1:16" s="166" customFormat="1" ht="14.25" x14ac:dyDescent="0.2">
      <c r="A70" s="436"/>
      <c r="B70" s="185"/>
      <c r="C70" s="186"/>
      <c r="D70" s="186"/>
      <c r="E70" s="449"/>
      <c r="F70" s="187" t="s">
        <v>535</v>
      </c>
      <c r="G70" s="186">
        <v>1</v>
      </c>
      <c r="H70" s="186">
        <v>1979</v>
      </c>
      <c r="I70" s="186">
        <v>300</v>
      </c>
      <c r="J70" s="186">
        <f>I70/12</f>
        <v>25</v>
      </c>
      <c r="K70" s="189">
        <f>I70/12</f>
        <v>25</v>
      </c>
      <c r="L70" s="189">
        <f>N$3-H70</f>
        <v>46</v>
      </c>
      <c r="M70" s="190">
        <f>L70/J70</f>
        <v>1.84</v>
      </c>
      <c r="P70" s="124"/>
    </row>
    <row r="71" spans="1:16" s="166" customFormat="1" thickBot="1" x14ac:dyDescent="0.25">
      <c r="A71" s="437"/>
      <c r="B71" s="191"/>
      <c r="C71" s="192"/>
      <c r="D71" s="192"/>
      <c r="E71" s="450"/>
      <c r="F71" s="193"/>
      <c r="G71" s="192"/>
      <c r="H71" s="192"/>
      <c r="I71" s="192"/>
      <c r="J71" s="192"/>
      <c r="K71" s="194"/>
      <c r="L71" s="194"/>
      <c r="M71" s="195"/>
      <c r="P71" s="124"/>
    </row>
    <row r="72" spans="1:16" s="166" customFormat="1" ht="14.25" x14ac:dyDescent="0.2">
      <c r="A72" s="435" t="s">
        <v>438</v>
      </c>
      <c r="B72" s="196"/>
      <c r="C72" s="197"/>
      <c r="D72" s="197"/>
      <c r="E72" s="452" t="s">
        <v>422</v>
      </c>
      <c r="F72" s="214" t="s">
        <v>560</v>
      </c>
      <c r="G72" s="200">
        <v>1</v>
      </c>
      <c r="H72" s="197">
        <v>2023</v>
      </c>
      <c r="I72" s="197">
        <v>300</v>
      </c>
      <c r="J72" s="197">
        <f>I72/12</f>
        <v>25</v>
      </c>
      <c r="K72" s="212">
        <f>I72/12</f>
        <v>25</v>
      </c>
      <c r="L72" s="212">
        <f>N$3-H72</f>
        <v>2</v>
      </c>
      <c r="M72" s="213">
        <f>L72/J72</f>
        <v>0.08</v>
      </c>
      <c r="P72" s="124"/>
    </row>
    <row r="73" spans="1:16" s="166" customFormat="1" ht="14.25" x14ac:dyDescent="0.2">
      <c r="A73" s="446"/>
      <c r="B73" s="185"/>
      <c r="C73" s="186"/>
      <c r="D73" s="186"/>
      <c r="E73" s="449"/>
      <c r="F73" s="215" t="s">
        <v>561</v>
      </c>
      <c r="G73" s="188">
        <v>1</v>
      </c>
      <c r="H73" s="186">
        <v>2023</v>
      </c>
      <c r="I73" s="186">
        <v>300</v>
      </c>
      <c r="J73" s="186">
        <f t="shared" ref="J73:J80" si="40">I73/12</f>
        <v>25</v>
      </c>
      <c r="K73" s="189">
        <f t="shared" ref="K73:K80" si="41">I73/12</f>
        <v>25</v>
      </c>
      <c r="L73" s="189">
        <f t="shared" ref="L73:L80" si="42">N$3-H73</f>
        <v>2</v>
      </c>
      <c r="M73" s="190">
        <f t="shared" ref="M73:M80" si="43">L73/J73</f>
        <v>0.08</v>
      </c>
      <c r="P73" s="124"/>
    </row>
    <row r="74" spans="1:16" s="166" customFormat="1" ht="14.25" x14ac:dyDescent="0.2">
      <c r="A74" s="446"/>
      <c r="B74" s="185"/>
      <c r="C74" s="186"/>
      <c r="D74" s="186"/>
      <c r="E74" s="449"/>
      <c r="F74" s="187" t="s">
        <v>518</v>
      </c>
      <c r="G74" s="188">
        <v>7</v>
      </c>
      <c r="H74" s="186">
        <v>2019</v>
      </c>
      <c r="I74" s="186">
        <v>300</v>
      </c>
      <c r="J74" s="186">
        <f t="shared" si="40"/>
        <v>25</v>
      </c>
      <c r="K74" s="189">
        <f t="shared" si="41"/>
        <v>25</v>
      </c>
      <c r="L74" s="189">
        <f t="shared" si="42"/>
        <v>6</v>
      </c>
      <c r="M74" s="190">
        <f t="shared" si="43"/>
        <v>0.24</v>
      </c>
      <c r="P74" s="124"/>
    </row>
    <row r="75" spans="1:16" s="166" customFormat="1" ht="14.25" x14ac:dyDescent="0.2">
      <c r="A75" s="446"/>
      <c r="B75" s="185"/>
      <c r="C75" s="186"/>
      <c r="D75" s="186"/>
      <c r="E75" s="449"/>
      <c r="F75" s="336" t="s">
        <v>693</v>
      </c>
      <c r="G75" s="188">
        <v>1</v>
      </c>
      <c r="H75" s="186">
        <v>2024</v>
      </c>
      <c r="I75" s="186">
        <v>300</v>
      </c>
      <c r="J75" s="186">
        <f t="shared" ref="J75" si="44">I75/12</f>
        <v>25</v>
      </c>
      <c r="K75" s="189">
        <f t="shared" ref="K75" si="45">I75/12</f>
        <v>25</v>
      </c>
      <c r="L75" s="189">
        <f t="shared" ref="L75" si="46">N$3-H75</f>
        <v>1</v>
      </c>
      <c r="M75" s="190">
        <f t="shared" ref="M75" si="47">L75/J75</f>
        <v>0.04</v>
      </c>
      <c r="P75" s="124"/>
    </row>
    <row r="76" spans="1:16" s="166" customFormat="1" ht="14.25" x14ac:dyDescent="0.2">
      <c r="A76" s="446"/>
      <c r="B76" s="185"/>
      <c r="C76" s="186"/>
      <c r="D76" s="186"/>
      <c r="E76" s="449"/>
      <c r="F76" s="215" t="s">
        <v>562</v>
      </c>
      <c r="G76" s="188">
        <v>1</v>
      </c>
      <c r="H76" s="186">
        <v>2023</v>
      </c>
      <c r="I76" s="186">
        <v>300</v>
      </c>
      <c r="J76" s="186">
        <f t="shared" si="40"/>
        <v>25</v>
      </c>
      <c r="K76" s="189">
        <f t="shared" si="41"/>
        <v>25</v>
      </c>
      <c r="L76" s="189">
        <f t="shared" si="42"/>
        <v>2</v>
      </c>
      <c r="M76" s="190">
        <f t="shared" si="43"/>
        <v>0.08</v>
      </c>
      <c r="P76" s="124"/>
    </row>
    <row r="77" spans="1:16" s="166" customFormat="1" ht="14.25" x14ac:dyDescent="0.2">
      <c r="A77" s="446"/>
      <c r="B77" s="185"/>
      <c r="C77" s="186"/>
      <c r="D77" s="186"/>
      <c r="E77" s="449"/>
      <c r="F77" s="215" t="s">
        <v>563</v>
      </c>
      <c r="G77" s="188">
        <v>1</v>
      </c>
      <c r="H77" s="186">
        <v>2023</v>
      </c>
      <c r="I77" s="186">
        <v>300</v>
      </c>
      <c r="J77" s="186">
        <f t="shared" si="40"/>
        <v>25</v>
      </c>
      <c r="K77" s="189">
        <f t="shared" si="41"/>
        <v>25</v>
      </c>
      <c r="L77" s="189">
        <f t="shared" si="42"/>
        <v>2</v>
      </c>
      <c r="M77" s="190">
        <f t="shared" si="43"/>
        <v>0.08</v>
      </c>
      <c r="P77" s="124"/>
    </row>
    <row r="78" spans="1:16" s="166" customFormat="1" ht="14.25" x14ac:dyDescent="0.2">
      <c r="A78" s="446"/>
      <c r="B78" s="185"/>
      <c r="C78" s="186"/>
      <c r="D78" s="186"/>
      <c r="E78" s="449"/>
      <c r="F78" s="187" t="s">
        <v>564</v>
      </c>
      <c r="G78" s="188">
        <f>1+1</f>
        <v>2</v>
      </c>
      <c r="H78" s="186">
        <v>2020</v>
      </c>
      <c r="I78" s="186">
        <v>300</v>
      </c>
      <c r="J78" s="186">
        <f t="shared" si="40"/>
        <v>25</v>
      </c>
      <c r="K78" s="189">
        <f t="shared" si="41"/>
        <v>25</v>
      </c>
      <c r="L78" s="189">
        <f t="shared" si="42"/>
        <v>5</v>
      </c>
      <c r="M78" s="190">
        <f t="shared" si="43"/>
        <v>0.2</v>
      </c>
      <c r="P78" s="124"/>
    </row>
    <row r="79" spans="1:16" s="166" customFormat="1" ht="14.25" x14ac:dyDescent="0.2">
      <c r="A79" s="446"/>
      <c r="B79" s="185"/>
      <c r="C79" s="186"/>
      <c r="D79" s="186"/>
      <c r="E79" s="449"/>
      <c r="F79" s="334" t="s">
        <v>691</v>
      </c>
      <c r="G79" s="188">
        <v>12</v>
      </c>
      <c r="H79" s="186">
        <v>2024</v>
      </c>
      <c r="I79" s="186">
        <v>300</v>
      </c>
      <c r="J79" s="186">
        <f t="shared" ref="J79" si="48">I79/12</f>
        <v>25</v>
      </c>
      <c r="K79" s="189">
        <f t="shared" ref="K79" si="49">I79/12</f>
        <v>25</v>
      </c>
      <c r="L79" s="189">
        <f t="shared" ref="L79" si="50">N$3-H79</f>
        <v>1</v>
      </c>
      <c r="M79" s="190">
        <f t="shared" ref="M79" si="51">L79/J79</f>
        <v>0.04</v>
      </c>
      <c r="P79" s="124"/>
    </row>
    <row r="80" spans="1:16" s="166" customFormat="1" ht="14.25" x14ac:dyDescent="0.2">
      <c r="A80" s="446"/>
      <c r="B80" s="185"/>
      <c r="C80" s="186"/>
      <c r="D80" s="186"/>
      <c r="E80" s="449"/>
      <c r="F80" s="187" t="s">
        <v>565</v>
      </c>
      <c r="G80" s="188">
        <f>2+2</f>
        <v>4</v>
      </c>
      <c r="H80" s="186">
        <v>1996</v>
      </c>
      <c r="I80" s="186">
        <v>300</v>
      </c>
      <c r="J80" s="186">
        <f t="shared" si="40"/>
        <v>25</v>
      </c>
      <c r="K80" s="189">
        <f t="shared" si="41"/>
        <v>25</v>
      </c>
      <c r="L80" s="189">
        <f t="shared" si="42"/>
        <v>29</v>
      </c>
      <c r="M80" s="190">
        <f t="shared" si="43"/>
        <v>1.1599999999999999</v>
      </c>
      <c r="P80" s="124"/>
    </row>
    <row r="81" spans="1:16" s="166" customFormat="1" ht="14.25" x14ac:dyDescent="0.2">
      <c r="A81" s="436"/>
      <c r="B81" s="185"/>
      <c r="C81" s="186"/>
      <c r="D81" s="186"/>
      <c r="E81" s="449"/>
      <c r="F81" s="187" t="s">
        <v>566</v>
      </c>
      <c r="G81" s="188">
        <v>2</v>
      </c>
      <c r="H81" s="186">
        <v>2020</v>
      </c>
      <c r="I81" s="186">
        <v>300</v>
      </c>
      <c r="J81" s="186">
        <f t="shared" ref="J81:J86" si="52">I81/12</f>
        <v>25</v>
      </c>
      <c r="K81" s="189">
        <f t="shared" ref="K81:K86" si="53">I81/12</f>
        <v>25</v>
      </c>
      <c r="L81" s="189">
        <f t="shared" ref="L81:L100" si="54">N$3-H81</f>
        <v>5</v>
      </c>
      <c r="M81" s="190">
        <f t="shared" ref="M81:M86" si="55">L81/J81</f>
        <v>0.2</v>
      </c>
      <c r="P81" s="124"/>
    </row>
    <row r="82" spans="1:16" s="166" customFormat="1" ht="14.25" x14ac:dyDescent="0.2">
      <c r="A82" s="436"/>
      <c r="B82" s="185"/>
      <c r="C82" s="186"/>
      <c r="D82" s="186"/>
      <c r="E82" s="449"/>
      <c r="F82" s="187" t="s">
        <v>567</v>
      </c>
      <c r="G82" s="188">
        <v>1</v>
      </c>
      <c r="H82" s="186">
        <v>2020</v>
      </c>
      <c r="I82" s="186">
        <v>300</v>
      </c>
      <c r="J82" s="186">
        <f t="shared" si="52"/>
        <v>25</v>
      </c>
      <c r="K82" s="189">
        <f t="shared" si="53"/>
        <v>25</v>
      </c>
      <c r="L82" s="189">
        <f t="shared" si="54"/>
        <v>5</v>
      </c>
      <c r="M82" s="190">
        <f t="shared" si="55"/>
        <v>0.2</v>
      </c>
      <c r="P82" s="124"/>
    </row>
    <row r="83" spans="1:16" s="166" customFormat="1" ht="14.25" x14ac:dyDescent="0.2">
      <c r="A83" s="451"/>
      <c r="B83" s="185"/>
      <c r="C83" s="186"/>
      <c r="D83" s="186"/>
      <c r="E83" s="449"/>
      <c r="F83" s="187" t="s">
        <v>567</v>
      </c>
      <c r="G83" s="188">
        <v>2</v>
      </c>
      <c r="H83" s="186">
        <v>2020</v>
      </c>
      <c r="I83" s="186">
        <v>300</v>
      </c>
      <c r="J83" s="186">
        <f t="shared" si="52"/>
        <v>25</v>
      </c>
      <c r="K83" s="189">
        <f t="shared" si="53"/>
        <v>25</v>
      </c>
      <c r="L83" s="189">
        <f t="shared" si="54"/>
        <v>5</v>
      </c>
      <c r="M83" s="190">
        <f t="shared" si="55"/>
        <v>0.2</v>
      </c>
      <c r="P83" s="124"/>
    </row>
    <row r="84" spans="1:16" s="166" customFormat="1" ht="14.25" x14ac:dyDescent="0.2">
      <c r="A84" s="451"/>
      <c r="B84" s="205"/>
      <c r="C84" s="206"/>
      <c r="D84" s="206"/>
      <c r="E84" s="453"/>
      <c r="F84" s="187" t="s">
        <v>535</v>
      </c>
      <c r="G84" s="186">
        <v>1</v>
      </c>
      <c r="H84" s="206">
        <v>2019</v>
      </c>
      <c r="I84" s="186">
        <v>300</v>
      </c>
      <c r="J84" s="186">
        <f t="shared" si="52"/>
        <v>25</v>
      </c>
      <c r="K84" s="189">
        <f t="shared" si="53"/>
        <v>25</v>
      </c>
      <c r="L84" s="189">
        <f t="shared" si="54"/>
        <v>6</v>
      </c>
      <c r="M84" s="190">
        <f t="shared" si="55"/>
        <v>0.24</v>
      </c>
      <c r="P84" s="124"/>
    </row>
    <row r="85" spans="1:16" s="166" customFormat="1" ht="30.75" customHeight="1" thickBot="1" x14ac:dyDescent="0.25">
      <c r="A85" s="437"/>
      <c r="B85" s="191"/>
      <c r="C85" s="192"/>
      <c r="D85" s="192"/>
      <c r="E85" s="450"/>
      <c r="F85" s="193"/>
      <c r="G85" s="192"/>
      <c r="H85" s="192"/>
      <c r="I85" s="192"/>
      <c r="J85" s="192"/>
      <c r="K85" s="194"/>
      <c r="L85" s="194"/>
      <c r="M85" s="195"/>
      <c r="P85" s="124"/>
    </row>
    <row r="86" spans="1:16" s="169" customFormat="1" ht="14.25" x14ac:dyDescent="0.2">
      <c r="A86" s="435" t="s">
        <v>446</v>
      </c>
      <c r="B86" s="196"/>
      <c r="C86" s="197"/>
      <c r="D86" s="197"/>
      <c r="E86" s="455" t="s">
        <v>568</v>
      </c>
      <c r="F86" s="207" t="s">
        <v>544</v>
      </c>
      <c r="G86" s="197">
        <v>1</v>
      </c>
      <c r="H86" s="197">
        <v>2019</v>
      </c>
      <c r="I86" s="197">
        <v>300</v>
      </c>
      <c r="J86" s="197">
        <f t="shared" si="52"/>
        <v>25</v>
      </c>
      <c r="K86" s="212">
        <f t="shared" si="53"/>
        <v>25</v>
      </c>
      <c r="L86" s="212">
        <f t="shared" si="54"/>
        <v>6</v>
      </c>
      <c r="M86" s="213">
        <f t="shared" si="55"/>
        <v>0.24</v>
      </c>
      <c r="P86" s="124"/>
    </row>
    <row r="87" spans="1:16" s="169" customFormat="1" ht="14.25" x14ac:dyDescent="0.2">
      <c r="A87" s="447"/>
      <c r="B87" s="185"/>
      <c r="C87" s="186"/>
      <c r="D87" s="186"/>
      <c r="E87" s="457"/>
      <c r="F87" s="187" t="s">
        <v>569</v>
      </c>
      <c r="G87" s="186">
        <v>12</v>
      </c>
      <c r="H87" s="186">
        <v>2019</v>
      </c>
      <c r="I87" s="186">
        <v>300</v>
      </c>
      <c r="J87" s="186">
        <f t="shared" ref="J87" si="56">I87/12</f>
        <v>25</v>
      </c>
      <c r="K87" s="189">
        <f t="shared" ref="K87" si="57">I87/12</f>
        <v>25</v>
      </c>
      <c r="L87" s="189">
        <f t="shared" ref="L87" si="58">N$3-H87</f>
        <v>6</v>
      </c>
      <c r="M87" s="190">
        <f t="shared" ref="M87" si="59">L87/J87</f>
        <v>0.24</v>
      </c>
      <c r="P87" s="124"/>
    </row>
    <row r="88" spans="1:16" s="169" customFormat="1" thickBot="1" x14ac:dyDescent="0.25">
      <c r="A88" s="437"/>
      <c r="B88" s="191"/>
      <c r="C88" s="192"/>
      <c r="D88" s="192"/>
      <c r="E88" s="458"/>
      <c r="F88" s="193" t="s">
        <v>570</v>
      </c>
      <c r="G88" s="192">
        <v>1</v>
      </c>
      <c r="H88" s="192">
        <v>2019</v>
      </c>
      <c r="I88" s="192">
        <v>300</v>
      </c>
      <c r="J88" s="192">
        <f>I88/12</f>
        <v>25</v>
      </c>
      <c r="K88" s="194">
        <f>I88/12</f>
        <v>25</v>
      </c>
      <c r="L88" s="194">
        <f t="shared" si="54"/>
        <v>6</v>
      </c>
      <c r="M88" s="195">
        <f>L88/J88</f>
        <v>0.24</v>
      </c>
      <c r="P88" s="124"/>
    </row>
    <row r="89" spans="1:16" s="169" customFormat="1" ht="14.25" x14ac:dyDescent="0.2">
      <c r="A89" s="435" t="s">
        <v>452</v>
      </c>
      <c r="B89" s="196"/>
      <c r="C89" s="197"/>
      <c r="D89" s="197"/>
      <c r="E89" s="452" t="s">
        <v>427</v>
      </c>
      <c r="F89" s="207" t="s">
        <v>694</v>
      </c>
      <c r="G89" s="200">
        <v>1</v>
      </c>
      <c r="H89" s="197">
        <v>2024</v>
      </c>
      <c r="I89" s="186">
        <v>300</v>
      </c>
      <c r="J89" s="186">
        <f t="shared" ref="J89" si="60">I89/12</f>
        <v>25</v>
      </c>
      <c r="K89" s="189">
        <f t="shared" ref="K89" si="61">I89/12</f>
        <v>25</v>
      </c>
      <c r="L89" s="189">
        <f t="shared" ref="L89" si="62">N$3-H89</f>
        <v>1</v>
      </c>
      <c r="M89" s="190">
        <f t="shared" ref="M89" si="63">L89/J89</f>
        <v>0.04</v>
      </c>
      <c r="P89" s="124"/>
    </row>
    <row r="90" spans="1:16" s="169" customFormat="1" ht="14.25" x14ac:dyDescent="0.2">
      <c r="A90" s="446"/>
      <c r="B90" s="329"/>
      <c r="C90" s="330"/>
      <c r="D90" s="330"/>
      <c r="E90" s="448"/>
      <c r="F90" s="187" t="s">
        <v>571</v>
      </c>
      <c r="G90" s="332">
        <v>7</v>
      </c>
      <c r="H90" s="330">
        <v>2010</v>
      </c>
      <c r="I90" s="186">
        <v>300</v>
      </c>
      <c r="J90" s="186">
        <f t="shared" ref="J90" si="64">I90/12</f>
        <v>25</v>
      </c>
      <c r="K90" s="189">
        <f t="shared" ref="K90" si="65">I90/12</f>
        <v>25</v>
      </c>
      <c r="L90" s="189">
        <f t="shared" si="54"/>
        <v>15</v>
      </c>
      <c r="M90" s="190">
        <f t="shared" ref="M90" si="66">L90/J90</f>
        <v>0.6</v>
      </c>
      <c r="P90" s="124"/>
    </row>
    <row r="91" spans="1:16" s="169" customFormat="1" ht="14.25" x14ac:dyDescent="0.2">
      <c r="A91" s="446"/>
      <c r="B91" s="329"/>
      <c r="C91" s="330"/>
      <c r="D91" s="330"/>
      <c r="E91" s="448"/>
      <c r="F91" s="187" t="s">
        <v>693</v>
      </c>
      <c r="G91" s="332">
        <v>1</v>
      </c>
      <c r="H91" s="330">
        <v>2024</v>
      </c>
      <c r="I91" s="186">
        <v>300</v>
      </c>
      <c r="J91" s="186">
        <f t="shared" ref="J91" si="67">I91/12</f>
        <v>25</v>
      </c>
      <c r="K91" s="189">
        <f t="shared" ref="K91" si="68">I91/12</f>
        <v>25</v>
      </c>
      <c r="L91" s="189">
        <f t="shared" ref="L91" si="69">N$3-H91</f>
        <v>1</v>
      </c>
      <c r="M91" s="190">
        <f t="shared" ref="M91" si="70">L91/J91</f>
        <v>0.04</v>
      </c>
      <c r="P91" s="124"/>
    </row>
    <row r="92" spans="1:16" s="169" customFormat="1" ht="14.25" x14ac:dyDescent="0.2">
      <c r="A92" s="446"/>
      <c r="B92" s="185"/>
      <c r="C92" s="186"/>
      <c r="D92" s="186"/>
      <c r="E92" s="449"/>
      <c r="F92" s="187" t="s">
        <v>572</v>
      </c>
      <c r="G92" s="188">
        <v>4</v>
      </c>
      <c r="H92" s="186">
        <v>2014</v>
      </c>
      <c r="I92" s="186">
        <v>300</v>
      </c>
      <c r="J92" s="186">
        <f t="shared" ref="J92:J100" si="71">I92/12</f>
        <v>25</v>
      </c>
      <c r="K92" s="189">
        <f t="shared" ref="K92:K100" si="72">I92/12</f>
        <v>25</v>
      </c>
      <c r="L92" s="189">
        <f t="shared" si="54"/>
        <v>11</v>
      </c>
      <c r="M92" s="190">
        <f t="shared" ref="M92:M100" si="73">L92/J92</f>
        <v>0.44</v>
      </c>
      <c r="P92" s="124"/>
    </row>
    <row r="93" spans="1:16" s="169" customFormat="1" ht="14.25" x14ac:dyDescent="0.2">
      <c r="A93" s="446"/>
      <c r="B93" s="185"/>
      <c r="C93" s="186"/>
      <c r="D93" s="186"/>
      <c r="E93" s="449"/>
      <c r="F93" s="215" t="s">
        <v>563</v>
      </c>
      <c r="G93" s="188">
        <v>1</v>
      </c>
      <c r="H93" s="186">
        <v>2023</v>
      </c>
      <c r="I93" s="186">
        <v>300</v>
      </c>
      <c r="J93" s="186">
        <f t="shared" si="71"/>
        <v>25</v>
      </c>
      <c r="K93" s="189">
        <f t="shared" si="72"/>
        <v>25</v>
      </c>
      <c r="L93" s="189">
        <f t="shared" si="54"/>
        <v>2</v>
      </c>
      <c r="M93" s="190">
        <f t="shared" si="73"/>
        <v>0.08</v>
      </c>
      <c r="P93" s="124"/>
    </row>
    <row r="94" spans="1:16" s="169" customFormat="1" ht="14.25" x14ac:dyDescent="0.2">
      <c r="A94" s="446"/>
      <c r="B94" s="185"/>
      <c r="C94" s="186"/>
      <c r="D94" s="186"/>
      <c r="E94" s="449"/>
      <c r="F94" s="216" t="s">
        <v>724</v>
      </c>
      <c r="G94" s="188">
        <v>1</v>
      </c>
      <c r="H94" s="186">
        <v>2023</v>
      </c>
      <c r="I94" s="186">
        <v>300</v>
      </c>
      <c r="J94" s="186">
        <f t="shared" si="71"/>
        <v>25</v>
      </c>
      <c r="K94" s="189">
        <f t="shared" si="72"/>
        <v>25</v>
      </c>
      <c r="L94" s="189">
        <f t="shared" si="54"/>
        <v>2</v>
      </c>
      <c r="M94" s="190">
        <f t="shared" si="73"/>
        <v>0.08</v>
      </c>
      <c r="P94" s="124"/>
    </row>
    <row r="95" spans="1:16" s="169" customFormat="1" ht="14.25" x14ac:dyDescent="0.2">
      <c r="A95" s="446"/>
      <c r="B95" s="185"/>
      <c r="C95" s="186"/>
      <c r="D95" s="186"/>
      <c r="E95" s="449"/>
      <c r="F95" s="187" t="s">
        <v>573</v>
      </c>
      <c r="G95" s="188">
        <v>3</v>
      </c>
      <c r="H95" s="186">
        <v>2014</v>
      </c>
      <c r="I95" s="186">
        <v>300</v>
      </c>
      <c r="J95" s="186">
        <f t="shared" si="71"/>
        <v>25</v>
      </c>
      <c r="K95" s="189">
        <f t="shared" si="72"/>
        <v>25</v>
      </c>
      <c r="L95" s="189">
        <f t="shared" si="54"/>
        <v>11</v>
      </c>
      <c r="M95" s="190">
        <f t="shared" si="73"/>
        <v>0.44</v>
      </c>
      <c r="P95" s="124"/>
    </row>
    <row r="96" spans="1:16" s="169" customFormat="1" ht="14.25" x14ac:dyDescent="0.2">
      <c r="A96" s="446"/>
      <c r="B96" s="185"/>
      <c r="C96" s="186"/>
      <c r="D96" s="186"/>
      <c r="E96" s="449"/>
      <c r="F96" s="334" t="s">
        <v>691</v>
      </c>
      <c r="G96" s="188">
        <v>7</v>
      </c>
      <c r="H96" s="186">
        <v>2024</v>
      </c>
      <c r="I96" s="186">
        <v>300</v>
      </c>
      <c r="J96" s="186">
        <f t="shared" ref="J96" si="74">I96/12</f>
        <v>25</v>
      </c>
      <c r="K96" s="189">
        <f t="shared" ref="K96" si="75">I96/12</f>
        <v>25</v>
      </c>
      <c r="L96" s="189">
        <f t="shared" ref="L96" si="76">N$3-H96</f>
        <v>1</v>
      </c>
      <c r="M96" s="190">
        <f t="shared" ref="M96" si="77">L96/J96</f>
        <v>0.04</v>
      </c>
      <c r="P96" s="124"/>
    </row>
    <row r="97" spans="1:16" s="169" customFormat="1" ht="14.25" x14ac:dyDescent="0.2">
      <c r="A97" s="446"/>
      <c r="B97" s="185"/>
      <c r="C97" s="186"/>
      <c r="D97" s="186"/>
      <c r="E97" s="449"/>
      <c r="F97" s="187" t="s">
        <v>574</v>
      </c>
      <c r="G97" s="188">
        <v>2</v>
      </c>
      <c r="H97" s="186">
        <v>2019</v>
      </c>
      <c r="I97" s="186">
        <v>300</v>
      </c>
      <c r="J97" s="186">
        <f t="shared" si="71"/>
        <v>25</v>
      </c>
      <c r="K97" s="189">
        <f t="shared" si="72"/>
        <v>25</v>
      </c>
      <c r="L97" s="189">
        <f t="shared" si="54"/>
        <v>6</v>
      </c>
      <c r="M97" s="190">
        <f t="shared" si="73"/>
        <v>0.24</v>
      </c>
      <c r="P97" s="124"/>
    </row>
    <row r="98" spans="1:16" s="169" customFormat="1" ht="14.25" x14ac:dyDescent="0.2">
      <c r="A98" s="446"/>
      <c r="B98" s="185"/>
      <c r="C98" s="186"/>
      <c r="D98" s="186"/>
      <c r="E98" s="449"/>
      <c r="F98" s="187" t="s">
        <v>575</v>
      </c>
      <c r="G98" s="188">
        <v>1</v>
      </c>
      <c r="H98" s="186">
        <v>2019</v>
      </c>
      <c r="I98" s="186">
        <v>300</v>
      </c>
      <c r="J98" s="186">
        <f t="shared" si="71"/>
        <v>25</v>
      </c>
      <c r="K98" s="189">
        <f t="shared" si="72"/>
        <v>25</v>
      </c>
      <c r="L98" s="189">
        <f t="shared" si="54"/>
        <v>6</v>
      </c>
      <c r="M98" s="190">
        <f t="shared" si="73"/>
        <v>0.24</v>
      </c>
      <c r="P98" s="124"/>
    </row>
    <row r="99" spans="1:16" s="169" customFormat="1" ht="14.25" x14ac:dyDescent="0.2">
      <c r="A99" s="446"/>
      <c r="B99" s="185"/>
      <c r="C99" s="186"/>
      <c r="D99" s="186"/>
      <c r="E99" s="449"/>
      <c r="F99" s="187" t="s">
        <v>576</v>
      </c>
      <c r="G99" s="188">
        <v>2</v>
      </c>
      <c r="H99" s="186">
        <v>2019</v>
      </c>
      <c r="I99" s="186">
        <v>300</v>
      </c>
      <c r="J99" s="186">
        <f t="shared" si="71"/>
        <v>25</v>
      </c>
      <c r="K99" s="189">
        <f t="shared" si="72"/>
        <v>25</v>
      </c>
      <c r="L99" s="189">
        <f t="shared" si="54"/>
        <v>6</v>
      </c>
      <c r="M99" s="190">
        <f t="shared" si="73"/>
        <v>0.24</v>
      </c>
      <c r="P99" s="124"/>
    </row>
    <row r="100" spans="1:16" s="169" customFormat="1" ht="14.25" x14ac:dyDescent="0.2">
      <c r="A100" s="436"/>
      <c r="B100" s="185"/>
      <c r="C100" s="186"/>
      <c r="D100" s="186"/>
      <c r="E100" s="449"/>
      <c r="F100" s="187" t="s">
        <v>577</v>
      </c>
      <c r="G100" s="188">
        <v>2</v>
      </c>
      <c r="H100" s="186">
        <v>2009</v>
      </c>
      <c r="I100" s="186">
        <v>300</v>
      </c>
      <c r="J100" s="186">
        <f t="shared" si="71"/>
        <v>25</v>
      </c>
      <c r="K100" s="189">
        <f t="shared" si="72"/>
        <v>25</v>
      </c>
      <c r="L100" s="189">
        <f t="shared" si="54"/>
        <v>16</v>
      </c>
      <c r="M100" s="190">
        <f t="shared" si="73"/>
        <v>0.64</v>
      </c>
      <c r="P100" s="124"/>
    </row>
    <row r="101" spans="1:16" s="169" customFormat="1" thickBot="1" x14ac:dyDescent="0.25">
      <c r="A101" s="437"/>
      <c r="B101" s="191"/>
      <c r="C101" s="192"/>
      <c r="D101" s="192"/>
      <c r="E101" s="450"/>
      <c r="F101" s="193"/>
      <c r="G101" s="211"/>
      <c r="H101" s="192"/>
      <c r="I101" s="186"/>
      <c r="J101" s="186"/>
      <c r="K101" s="189"/>
      <c r="L101" s="189"/>
      <c r="M101" s="190"/>
      <c r="P101" s="124"/>
    </row>
    <row r="102" spans="1:16" s="169" customFormat="1" ht="14.25" x14ac:dyDescent="0.2">
      <c r="A102" s="435" t="s">
        <v>460</v>
      </c>
      <c r="B102" s="196"/>
      <c r="C102" s="197"/>
      <c r="D102" s="197"/>
      <c r="E102" s="455" t="s">
        <v>578</v>
      </c>
      <c r="F102" s="207" t="s">
        <v>694</v>
      </c>
      <c r="G102" s="200">
        <v>1</v>
      </c>
      <c r="H102" s="197">
        <v>2024</v>
      </c>
      <c r="I102" s="197">
        <v>300</v>
      </c>
      <c r="J102" s="197">
        <f t="shared" ref="J102:J108" si="78">I102/12</f>
        <v>25</v>
      </c>
      <c r="K102" s="212">
        <f t="shared" ref="K102:K108" si="79">I102/12</f>
        <v>25</v>
      </c>
      <c r="L102" s="212">
        <f t="shared" ref="L102:L107" si="80">N$3-H102</f>
        <v>1</v>
      </c>
      <c r="M102" s="213">
        <f t="shared" ref="M102:M107" si="81">L102/J102</f>
        <v>0.04</v>
      </c>
      <c r="P102" s="124"/>
    </row>
    <row r="103" spans="1:16" s="169" customFormat="1" ht="14.25" x14ac:dyDescent="0.2">
      <c r="A103" s="446"/>
      <c r="B103" s="329"/>
      <c r="C103" s="330"/>
      <c r="D103" s="330"/>
      <c r="E103" s="456"/>
      <c r="F103" s="187" t="s">
        <v>579</v>
      </c>
      <c r="G103" s="188">
        <v>7</v>
      </c>
      <c r="H103" s="186">
        <v>2010</v>
      </c>
      <c r="I103" s="186">
        <v>300</v>
      </c>
      <c r="J103" s="186">
        <f t="shared" si="78"/>
        <v>25</v>
      </c>
      <c r="K103" s="189">
        <f t="shared" si="79"/>
        <v>25</v>
      </c>
      <c r="L103" s="189">
        <f t="shared" ref="L103" si="82">N$3-H103</f>
        <v>15</v>
      </c>
      <c r="M103" s="190">
        <f t="shared" ref="M103" si="83">L103/J103</f>
        <v>0.6</v>
      </c>
      <c r="P103" s="124"/>
    </row>
    <row r="104" spans="1:16" s="169" customFormat="1" ht="14.25" x14ac:dyDescent="0.2">
      <c r="A104" s="446"/>
      <c r="B104" s="329"/>
      <c r="C104" s="330"/>
      <c r="D104" s="330"/>
      <c r="E104" s="456"/>
      <c r="F104" s="187" t="s">
        <v>693</v>
      </c>
      <c r="G104" s="188">
        <v>1</v>
      </c>
      <c r="H104" s="186">
        <v>2024</v>
      </c>
      <c r="I104" s="186">
        <v>300</v>
      </c>
      <c r="J104" s="186">
        <f t="shared" si="78"/>
        <v>25</v>
      </c>
      <c r="K104" s="189">
        <f t="shared" si="79"/>
        <v>25</v>
      </c>
      <c r="L104" s="189">
        <f t="shared" ref="L104" si="84">N$3-H104</f>
        <v>1</v>
      </c>
      <c r="M104" s="190">
        <f t="shared" ref="M104" si="85">L104/J104</f>
        <v>0.04</v>
      </c>
      <c r="P104" s="124"/>
    </row>
    <row r="105" spans="1:16" s="169" customFormat="1" ht="14.25" x14ac:dyDescent="0.2">
      <c r="A105" s="436"/>
      <c r="B105" s="185"/>
      <c r="C105" s="186"/>
      <c r="D105" s="186"/>
      <c r="E105" s="457"/>
      <c r="F105" s="187" t="s">
        <v>580</v>
      </c>
      <c r="G105" s="188">
        <v>1</v>
      </c>
      <c r="H105" s="186">
        <v>2010</v>
      </c>
      <c r="I105" s="186">
        <v>300</v>
      </c>
      <c r="J105" s="186">
        <f t="shared" si="78"/>
        <v>25</v>
      </c>
      <c r="K105" s="189">
        <f t="shared" si="79"/>
        <v>25</v>
      </c>
      <c r="L105" s="189">
        <f t="shared" si="80"/>
        <v>15</v>
      </c>
      <c r="M105" s="190">
        <f t="shared" si="81"/>
        <v>0.6</v>
      </c>
      <c r="P105" s="124"/>
    </row>
    <row r="106" spans="1:16" s="169" customFormat="1" ht="14.25" x14ac:dyDescent="0.2">
      <c r="A106" s="436"/>
      <c r="B106" s="185"/>
      <c r="C106" s="186"/>
      <c r="D106" s="186"/>
      <c r="E106" s="457"/>
      <c r="F106" s="187" t="s">
        <v>573</v>
      </c>
      <c r="G106" s="188">
        <f>4+4</f>
        <v>8</v>
      </c>
      <c r="H106" s="186">
        <v>2022</v>
      </c>
      <c r="I106" s="186">
        <v>300</v>
      </c>
      <c r="J106" s="186">
        <f t="shared" si="78"/>
        <v>25</v>
      </c>
      <c r="K106" s="189">
        <f t="shared" si="79"/>
        <v>25</v>
      </c>
      <c r="L106" s="189">
        <f t="shared" si="80"/>
        <v>3</v>
      </c>
      <c r="M106" s="190">
        <f t="shared" si="81"/>
        <v>0.12</v>
      </c>
      <c r="P106" s="124"/>
    </row>
    <row r="107" spans="1:16" s="169" customFormat="1" ht="14.25" x14ac:dyDescent="0.2">
      <c r="A107" s="436"/>
      <c r="B107" s="185"/>
      <c r="C107" s="186"/>
      <c r="D107" s="186"/>
      <c r="E107" s="457"/>
      <c r="F107" s="187" t="s">
        <v>575</v>
      </c>
      <c r="G107" s="188">
        <v>2</v>
      </c>
      <c r="H107" s="186">
        <v>2021</v>
      </c>
      <c r="I107" s="186">
        <v>300</v>
      </c>
      <c r="J107" s="186">
        <f t="shared" si="78"/>
        <v>25</v>
      </c>
      <c r="K107" s="189">
        <f t="shared" si="79"/>
        <v>25</v>
      </c>
      <c r="L107" s="189">
        <f t="shared" si="80"/>
        <v>4</v>
      </c>
      <c r="M107" s="190">
        <f t="shared" si="81"/>
        <v>0.16</v>
      </c>
      <c r="P107" s="124"/>
    </row>
    <row r="108" spans="1:16" s="169" customFormat="1" ht="14.25" x14ac:dyDescent="0.2">
      <c r="A108" s="451"/>
      <c r="B108" s="185"/>
      <c r="C108" s="186"/>
      <c r="D108" s="186"/>
      <c r="E108" s="457"/>
      <c r="F108" s="335" t="s">
        <v>692</v>
      </c>
      <c r="G108" s="188">
        <v>1</v>
      </c>
      <c r="H108" s="186">
        <v>2024</v>
      </c>
      <c r="I108" s="186">
        <v>300</v>
      </c>
      <c r="J108" s="186">
        <f t="shared" si="78"/>
        <v>25</v>
      </c>
      <c r="K108" s="189">
        <f t="shared" si="79"/>
        <v>25</v>
      </c>
      <c r="L108" s="189">
        <f t="shared" ref="L108" si="86">N$3-H108</f>
        <v>1</v>
      </c>
      <c r="M108" s="190">
        <f t="shared" ref="M108" si="87">L108/J108</f>
        <v>0.04</v>
      </c>
      <c r="P108" s="124"/>
    </row>
    <row r="109" spans="1:16" s="169" customFormat="1" ht="14.25" x14ac:dyDescent="0.2">
      <c r="A109" s="451"/>
      <c r="B109" s="185"/>
      <c r="C109" s="186"/>
      <c r="D109" s="186"/>
      <c r="E109" s="457"/>
      <c r="F109" s="187" t="s">
        <v>581</v>
      </c>
      <c r="G109" s="188">
        <v>9</v>
      </c>
      <c r="H109" s="186">
        <v>1998</v>
      </c>
      <c r="I109" s="186">
        <v>300</v>
      </c>
      <c r="J109" s="186">
        <f t="shared" ref="J109:J111" si="88">I109/12</f>
        <v>25</v>
      </c>
      <c r="K109" s="189">
        <f t="shared" ref="K109:K111" si="89">I109/12</f>
        <v>25</v>
      </c>
      <c r="L109" s="189">
        <f t="shared" ref="L109:L111" si="90">N$3-H109</f>
        <v>27</v>
      </c>
      <c r="M109" s="190">
        <f t="shared" ref="M109:M111" si="91">L109/J109</f>
        <v>1.08</v>
      </c>
      <c r="P109" s="124"/>
    </row>
    <row r="110" spans="1:16" s="169" customFormat="1" ht="14.25" x14ac:dyDescent="0.2">
      <c r="A110" s="451"/>
      <c r="B110" s="185"/>
      <c r="C110" s="186"/>
      <c r="D110" s="186"/>
      <c r="E110" s="457"/>
      <c r="F110" s="187" t="s">
        <v>581</v>
      </c>
      <c r="G110" s="188">
        <v>2</v>
      </c>
      <c r="H110" s="186">
        <v>1998</v>
      </c>
      <c r="I110" s="186">
        <v>300</v>
      </c>
      <c r="J110" s="186">
        <f t="shared" si="88"/>
        <v>25</v>
      </c>
      <c r="K110" s="189">
        <f t="shared" si="89"/>
        <v>25</v>
      </c>
      <c r="L110" s="189">
        <f t="shared" si="90"/>
        <v>27</v>
      </c>
      <c r="M110" s="190">
        <f t="shared" si="91"/>
        <v>1.08</v>
      </c>
      <c r="P110" s="217"/>
    </row>
    <row r="111" spans="1:16" s="169" customFormat="1" ht="14.25" x14ac:dyDescent="0.2">
      <c r="A111" s="451"/>
      <c r="B111" s="185"/>
      <c r="C111" s="186"/>
      <c r="D111" s="186"/>
      <c r="E111" s="457"/>
      <c r="F111" s="187" t="s">
        <v>582</v>
      </c>
      <c r="G111" s="188">
        <v>1</v>
      </c>
      <c r="H111" s="186">
        <v>1998</v>
      </c>
      <c r="I111" s="186">
        <v>300</v>
      </c>
      <c r="J111" s="186">
        <f t="shared" si="88"/>
        <v>25</v>
      </c>
      <c r="K111" s="189">
        <f t="shared" si="89"/>
        <v>25</v>
      </c>
      <c r="L111" s="189">
        <f t="shared" si="90"/>
        <v>27</v>
      </c>
      <c r="M111" s="190">
        <f t="shared" si="91"/>
        <v>1.08</v>
      </c>
      <c r="P111" s="124"/>
    </row>
    <row r="112" spans="1:16" s="169" customFormat="1" thickBot="1" x14ac:dyDescent="0.25">
      <c r="A112" s="437"/>
      <c r="B112" s="191"/>
      <c r="C112" s="192"/>
      <c r="D112" s="192"/>
      <c r="E112" s="458"/>
      <c r="F112" s="193"/>
      <c r="G112" s="211"/>
      <c r="H112" s="192"/>
      <c r="I112" s="192"/>
      <c r="J112" s="192"/>
      <c r="K112" s="194"/>
      <c r="L112" s="194"/>
      <c r="M112" s="195"/>
      <c r="P112" s="124"/>
    </row>
    <row r="113" spans="1:16" s="169" customFormat="1" ht="14.25" x14ac:dyDescent="0.2">
      <c r="A113" s="435" t="s">
        <v>465</v>
      </c>
      <c r="B113" s="196"/>
      <c r="C113" s="197"/>
      <c r="D113" s="197"/>
      <c r="E113" s="459" t="s">
        <v>584</v>
      </c>
      <c r="F113" s="214" t="s">
        <v>585</v>
      </c>
      <c r="G113" s="200">
        <v>2</v>
      </c>
      <c r="H113" s="197">
        <v>2023</v>
      </c>
      <c r="I113" s="197">
        <v>300</v>
      </c>
      <c r="J113" s="197">
        <f>I113/12</f>
        <v>25</v>
      </c>
      <c r="K113" s="212">
        <f>I113/12</f>
        <v>25</v>
      </c>
      <c r="L113" s="212">
        <f>N$3-H113</f>
        <v>2</v>
      </c>
      <c r="M113" s="213">
        <f>L113/J113</f>
        <v>0.08</v>
      </c>
      <c r="P113" s="124"/>
    </row>
    <row r="114" spans="1:16" s="169" customFormat="1" ht="14.25" x14ac:dyDescent="0.2">
      <c r="A114" s="446"/>
      <c r="B114" s="185"/>
      <c r="C114" s="186"/>
      <c r="D114" s="186"/>
      <c r="E114" s="460"/>
      <c r="F114" s="187" t="s">
        <v>586</v>
      </c>
      <c r="G114" s="188">
        <v>5</v>
      </c>
      <c r="H114" s="186">
        <v>2010</v>
      </c>
      <c r="I114" s="186">
        <v>300</v>
      </c>
      <c r="J114" s="186">
        <f t="shared" ref="J114:J129" si="92">I114/12</f>
        <v>25</v>
      </c>
      <c r="K114" s="189">
        <f t="shared" ref="K114:K129" si="93">I114/12</f>
        <v>25</v>
      </c>
      <c r="L114" s="189">
        <f t="shared" ref="L114:L129" si="94">N$3-H114</f>
        <v>15</v>
      </c>
      <c r="M114" s="190">
        <f t="shared" ref="M114:M129" si="95">L114/J114</f>
        <v>0.6</v>
      </c>
      <c r="P114" s="124"/>
    </row>
    <row r="115" spans="1:16" s="169" customFormat="1" ht="14.25" x14ac:dyDescent="0.2">
      <c r="A115" s="446"/>
      <c r="B115" s="185"/>
      <c r="C115" s="186"/>
      <c r="D115" s="186"/>
      <c r="E115" s="460"/>
      <c r="F115" s="187" t="s">
        <v>586</v>
      </c>
      <c r="G115" s="188">
        <v>7</v>
      </c>
      <c r="H115" s="186">
        <v>2019</v>
      </c>
      <c r="I115" s="186">
        <v>300</v>
      </c>
      <c r="J115" s="186">
        <f t="shared" si="92"/>
        <v>25</v>
      </c>
      <c r="K115" s="189">
        <f t="shared" si="93"/>
        <v>25</v>
      </c>
      <c r="L115" s="189">
        <f t="shared" si="94"/>
        <v>6</v>
      </c>
      <c r="M115" s="190">
        <f t="shared" si="95"/>
        <v>0.24</v>
      </c>
      <c r="P115" s="124"/>
    </row>
    <row r="116" spans="1:16" s="169" customFormat="1" ht="14.25" x14ac:dyDescent="0.2">
      <c r="A116" s="446"/>
      <c r="B116" s="185"/>
      <c r="C116" s="186"/>
      <c r="D116" s="186"/>
      <c r="E116" s="460"/>
      <c r="F116" s="215" t="s">
        <v>587</v>
      </c>
      <c r="G116" s="188">
        <v>1</v>
      </c>
      <c r="H116" s="186">
        <v>2023</v>
      </c>
      <c r="I116" s="186">
        <v>300</v>
      </c>
      <c r="J116" s="186">
        <f t="shared" si="92"/>
        <v>25</v>
      </c>
      <c r="K116" s="189">
        <f t="shared" si="93"/>
        <v>25</v>
      </c>
      <c r="L116" s="189">
        <f t="shared" si="94"/>
        <v>2</v>
      </c>
      <c r="M116" s="190">
        <f t="shared" si="95"/>
        <v>0.08</v>
      </c>
      <c r="P116" s="124"/>
    </row>
    <row r="117" spans="1:16" s="169" customFormat="1" ht="14.25" x14ac:dyDescent="0.2">
      <c r="A117" s="446"/>
      <c r="B117" s="185"/>
      <c r="C117" s="186"/>
      <c r="D117" s="186"/>
      <c r="E117" s="460"/>
      <c r="F117" s="187" t="s">
        <v>693</v>
      </c>
      <c r="G117" s="188">
        <v>1</v>
      </c>
      <c r="H117" s="186">
        <v>2024</v>
      </c>
      <c r="I117" s="186">
        <v>300</v>
      </c>
      <c r="J117" s="186">
        <f>I117/12</f>
        <v>25</v>
      </c>
      <c r="K117" s="189">
        <f>I117/12</f>
        <v>25</v>
      </c>
      <c r="L117" s="189">
        <f t="shared" si="94"/>
        <v>1</v>
      </c>
      <c r="M117" s="190">
        <f t="shared" si="95"/>
        <v>0.04</v>
      </c>
      <c r="P117" s="124"/>
    </row>
    <row r="118" spans="1:16" s="169" customFormat="1" ht="14.25" x14ac:dyDescent="0.2">
      <c r="A118" s="446"/>
      <c r="B118" s="185"/>
      <c r="C118" s="186"/>
      <c r="D118" s="186"/>
      <c r="E118" s="460"/>
      <c r="F118" s="215" t="s">
        <v>588</v>
      </c>
      <c r="G118" s="188">
        <v>1</v>
      </c>
      <c r="H118" s="186">
        <v>2023</v>
      </c>
      <c r="I118" s="186">
        <v>300</v>
      </c>
      <c r="J118" s="186">
        <f t="shared" si="92"/>
        <v>25</v>
      </c>
      <c r="K118" s="189">
        <f t="shared" si="93"/>
        <v>25</v>
      </c>
      <c r="L118" s="189">
        <f t="shared" si="94"/>
        <v>2</v>
      </c>
      <c r="M118" s="190">
        <f t="shared" si="95"/>
        <v>0.08</v>
      </c>
      <c r="P118" s="124"/>
    </row>
    <row r="119" spans="1:16" s="169" customFormat="1" ht="14.25" x14ac:dyDescent="0.2">
      <c r="A119" s="446"/>
      <c r="B119" s="185"/>
      <c r="C119" s="186"/>
      <c r="D119" s="186"/>
      <c r="E119" s="460"/>
      <c r="F119" s="187" t="s">
        <v>589</v>
      </c>
      <c r="G119" s="188">
        <v>1</v>
      </c>
      <c r="H119" s="186">
        <v>2019</v>
      </c>
      <c r="I119" s="186">
        <v>300</v>
      </c>
      <c r="J119" s="186">
        <f t="shared" si="92"/>
        <v>25</v>
      </c>
      <c r="K119" s="189">
        <f t="shared" si="93"/>
        <v>25</v>
      </c>
      <c r="L119" s="189">
        <f t="shared" si="94"/>
        <v>6</v>
      </c>
      <c r="M119" s="190">
        <f t="shared" si="95"/>
        <v>0.24</v>
      </c>
      <c r="P119" s="124"/>
    </row>
    <row r="120" spans="1:16" s="169" customFormat="1" ht="14.25" x14ac:dyDescent="0.2">
      <c r="A120" s="446"/>
      <c r="B120" s="185"/>
      <c r="C120" s="186"/>
      <c r="D120" s="186"/>
      <c r="E120" s="460"/>
      <c r="F120" s="187" t="s">
        <v>590</v>
      </c>
      <c r="G120" s="188">
        <v>1</v>
      </c>
      <c r="H120" s="186">
        <v>2020</v>
      </c>
      <c r="I120" s="186">
        <v>300</v>
      </c>
      <c r="J120" s="186">
        <f t="shared" si="92"/>
        <v>25</v>
      </c>
      <c r="K120" s="189">
        <f t="shared" si="93"/>
        <v>25</v>
      </c>
      <c r="L120" s="189">
        <f t="shared" si="94"/>
        <v>5</v>
      </c>
      <c r="M120" s="190">
        <f t="shared" si="95"/>
        <v>0.2</v>
      </c>
      <c r="P120" s="124"/>
    </row>
    <row r="121" spans="1:16" s="169" customFormat="1" ht="14.25" x14ac:dyDescent="0.2">
      <c r="A121" s="446"/>
      <c r="B121" s="185"/>
      <c r="C121" s="186"/>
      <c r="D121" s="186"/>
      <c r="E121" s="460"/>
      <c r="F121" s="187" t="s">
        <v>590</v>
      </c>
      <c r="G121" s="188">
        <v>3</v>
      </c>
      <c r="H121" s="186">
        <v>2019</v>
      </c>
      <c r="I121" s="186">
        <v>300</v>
      </c>
      <c r="J121" s="186">
        <f t="shared" si="92"/>
        <v>25</v>
      </c>
      <c r="K121" s="189">
        <f t="shared" si="93"/>
        <v>25</v>
      </c>
      <c r="L121" s="189">
        <f t="shared" si="94"/>
        <v>6</v>
      </c>
      <c r="M121" s="190">
        <f t="shared" si="95"/>
        <v>0.24</v>
      </c>
      <c r="P121" s="124"/>
    </row>
    <row r="122" spans="1:16" s="169" customFormat="1" ht="14.25" x14ac:dyDescent="0.2">
      <c r="A122" s="446"/>
      <c r="B122" s="185"/>
      <c r="C122" s="186"/>
      <c r="D122" s="186"/>
      <c r="E122" s="460"/>
      <c r="F122" s="187" t="s">
        <v>591</v>
      </c>
      <c r="G122" s="188">
        <v>1</v>
      </c>
      <c r="H122" s="186">
        <v>2019</v>
      </c>
      <c r="I122" s="186">
        <v>300</v>
      </c>
      <c r="J122" s="186">
        <f t="shared" si="92"/>
        <v>25</v>
      </c>
      <c r="K122" s="189">
        <f t="shared" si="93"/>
        <v>25</v>
      </c>
      <c r="L122" s="189">
        <f t="shared" si="94"/>
        <v>6</v>
      </c>
      <c r="M122" s="190">
        <f t="shared" si="95"/>
        <v>0.24</v>
      </c>
      <c r="P122" s="124"/>
    </row>
    <row r="123" spans="1:16" s="169" customFormat="1" ht="14.25" x14ac:dyDescent="0.2">
      <c r="A123" s="446"/>
      <c r="B123" s="185"/>
      <c r="C123" s="186"/>
      <c r="D123" s="186"/>
      <c r="E123" s="460"/>
      <c r="F123" s="215" t="s">
        <v>592</v>
      </c>
      <c r="G123" s="188">
        <v>1</v>
      </c>
      <c r="H123" s="186">
        <v>2023</v>
      </c>
      <c r="I123" s="186">
        <v>300</v>
      </c>
      <c r="J123" s="186">
        <f t="shared" si="92"/>
        <v>25</v>
      </c>
      <c r="K123" s="189">
        <f t="shared" si="93"/>
        <v>25</v>
      </c>
      <c r="L123" s="189">
        <f t="shared" si="94"/>
        <v>2</v>
      </c>
      <c r="M123" s="190">
        <f t="shared" si="95"/>
        <v>0.08</v>
      </c>
      <c r="P123" s="124"/>
    </row>
    <row r="124" spans="1:16" s="169" customFormat="1" ht="14.25" x14ac:dyDescent="0.2">
      <c r="A124" s="446"/>
      <c r="B124" s="185"/>
      <c r="C124" s="186"/>
      <c r="D124" s="186"/>
      <c r="E124" s="460"/>
      <c r="F124" s="215" t="s">
        <v>593</v>
      </c>
      <c r="G124" s="188">
        <v>2</v>
      </c>
      <c r="H124" s="186">
        <v>2023</v>
      </c>
      <c r="I124" s="186">
        <v>300</v>
      </c>
      <c r="J124" s="186">
        <f t="shared" si="92"/>
        <v>25</v>
      </c>
      <c r="K124" s="189">
        <f t="shared" si="93"/>
        <v>25</v>
      </c>
      <c r="L124" s="189">
        <f t="shared" si="94"/>
        <v>2</v>
      </c>
      <c r="M124" s="190">
        <f t="shared" si="95"/>
        <v>0.08</v>
      </c>
      <c r="P124" s="124"/>
    </row>
    <row r="125" spans="1:16" s="169" customFormat="1" ht="14.25" x14ac:dyDescent="0.2">
      <c r="A125" s="446"/>
      <c r="B125" s="185"/>
      <c r="C125" s="186"/>
      <c r="D125" s="186"/>
      <c r="E125" s="460"/>
      <c r="F125" s="187" t="s">
        <v>594</v>
      </c>
      <c r="G125" s="188">
        <f>1</f>
        <v>1</v>
      </c>
      <c r="H125" s="186">
        <v>2019</v>
      </c>
      <c r="I125" s="186">
        <v>300</v>
      </c>
      <c r="J125" s="186">
        <f t="shared" si="92"/>
        <v>25</v>
      </c>
      <c r="K125" s="189">
        <f t="shared" si="93"/>
        <v>25</v>
      </c>
      <c r="L125" s="189">
        <f t="shared" si="94"/>
        <v>6</v>
      </c>
      <c r="M125" s="190">
        <f t="shared" si="95"/>
        <v>0.24</v>
      </c>
      <c r="P125" s="124"/>
    </row>
    <row r="126" spans="1:16" s="169" customFormat="1" ht="14.25" x14ac:dyDescent="0.2">
      <c r="A126" s="446"/>
      <c r="B126" s="185"/>
      <c r="C126" s="186"/>
      <c r="D126" s="186"/>
      <c r="E126" s="460"/>
      <c r="F126" s="187" t="s">
        <v>595</v>
      </c>
      <c r="G126" s="188">
        <v>1</v>
      </c>
      <c r="H126" s="186">
        <v>1998</v>
      </c>
      <c r="I126" s="186">
        <v>300</v>
      </c>
      <c r="J126" s="186">
        <f t="shared" si="92"/>
        <v>25</v>
      </c>
      <c r="K126" s="189">
        <f t="shared" si="93"/>
        <v>25</v>
      </c>
      <c r="L126" s="189">
        <f t="shared" si="94"/>
        <v>27</v>
      </c>
      <c r="M126" s="190">
        <f t="shared" si="95"/>
        <v>1.08</v>
      </c>
      <c r="P126" s="124"/>
    </row>
    <row r="127" spans="1:16" s="169" customFormat="1" ht="14.25" x14ac:dyDescent="0.2">
      <c r="A127" s="446"/>
      <c r="B127" s="185"/>
      <c r="C127" s="186"/>
      <c r="D127" s="186"/>
      <c r="E127" s="460"/>
      <c r="F127" s="187" t="s">
        <v>596</v>
      </c>
      <c r="G127" s="188">
        <v>2</v>
      </c>
      <c r="H127" s="186">
        <v>1998</v>
      </c>
      <c r="I127" s="186">
        <v>300</v>
      </c>
      <c r="J127" s="186">
        <f t="shared" si="92"/>
        <v>25</v>
      </c>
      <c r="K127" s="189">
        <f t="shared" si="93"/>
        <v>25</v>
      </c>
      <c r="L127" s="189">
        <f t="shared" si="94"/>
        <v>27</v>
      </c>
      <c r="M127" s="190">
        <f t="shared" si="95"/>
        <v>1.08</v>
      </c>
      <c r="P127" s="124"/>
    </row>
    <row r="128" spans="1:16" s="169" customFormat="1" ht="14.25" x14ac:dyDescent="0.2">
      <c r="A128" s="446"/>
      <c r="B128" s="185"/>
      <c r="C128" s="186"/>
      <c r="D128" s="186"/>
      <c r="E128" s="460"/>
      <c r="F128" s="187" t="s">
        <v>597</v>
      </c>
      <c r="G128" s="188">
        <v>1</v>
      </c>
      <c r="H128" s="186">
        <v>2021</v>
      </c>
      <c r="I128" s="186">
        <v>300</v>
      </c>
      <c r="J128" s="186">
        <f t="shared" si="92"/>
        <v>25</v>
      </c>
      <c r="K128" s="189">
        <f t="shared" si="93"/>
        <v>25</v>
      </c>
      <c r="L128" s="189">
        <f t="shared" si="94"/>
        <v>4</v>
      </c>
      <c r="M128" s="190">
        <f t="shared" si="95"/>
        <v>0.16</v>
      </c>
      <c r="P128" s="124"/>
    </row>
    <row r="129" spans="1:16" s="169" customFormat="1" ht="14.25" x14ac:dyDescent="0.2">
      <c r="A129" s="446"/>
      <c r="B129" s="185"/>
      <c r="C129" s="186"/>
      <c r="D129" s="186"/>
      <c r="E129" s="460"/>
      <c r="F129" s="187" t="s">
        <v>598</v>
      </c>
      <c r="G129" s="188">
        <v>2</v>
      </c>
      <c r="H129" s="186">
        <v>2021</v>
      </c>
      <c r="I129" s="186">
        <v>300</v>
      </c>
      <c r="J129" s="186">
        <f t="shared" si="92"/>
        <v>25</v>
      </c>
      <c r="K129" s="189">
        <f t="shared" si="93"/>
        <v>25</v>
      </c>
      <c r="L129" s="189">
        <f t="shared" si="94"/>
        <v>4</v>
      </c>
      <c r="M129" s="190">
        <f t="shared" si="95"/>
        <v>0.16</v>
      </c>
      <c r="P129" s="124"/>
    </row>
    <row r="130" spans="1:16" s="169" customFormat="1" thickBot="1" x14ac:dyDescent="0.25">
      <c r="A130" s="437"/>
      <c r="B130" s="191"/>
      <c r="C130" s="192"/>
      <c r="D130" s="192"/>
      <c r="E130" s="461"/>
      <c r="F130" s="193" t="s">
        <v>599</v>
      </c>
      <c r="G130" s="192">
        <v>2</v>
      </c>
      <c r="H130" s="192">
        <v>1998</v>
      </c>
      <c r="I130" s="192">
        <v>300</v>
      </c>
      <c r="J130" s="192">
        <f>I130/12</f>
        <v>25</v>
      </c>
      <c r="K130" s="194">
        <f>I130/12</f>
        <v>25</v>
      </c>
      <c r="L130" s="194">
        <f>N$3-H130</f>
        <v>27</v>
      </c>
      <c r="M130" s="195">
        <f>L130/J130</f>
        <v>1.08</v>
      </c>
      <c r="P130" s="124"/>
    </row>
    <row r="131" spans="1:16" s="166" customFormat="1" ht="14.25" x14ac:dyDescent="0.2">
      <c r="A131" s="435" t="s">
        <v>472</v>
      </c>
      <c r="B131" s="196"/>
      <c r="C131" s="197"/>
      <c r="D131" s="197"/>
      <c r="E131" s="452" t="s">
        <v>600</v>
      </c>
      <c r="F131" s="207" t="s">
        <v>694</v>
      </c>
      <c r="G131" s="200">
        <v>1</v>
      </c>
      <c r="H131" s="197">
        <v>2024</v>
      </c>
      <c r="I131" s="197">
        <v>300</v>
      </c>
      <c r="J131" s="197">
        <f>I131/12</f>
        <v>25</v>
      </c>
      <c r="K131" s="212">
        <f>I131/12</f>
        <v>25</v>
      </c>
      <c r="L131" s="212">
        <f t="shared" ref="L131" si="96">N$3-H131</f>
        <v>1</v>
      </c>
      <c r="M131" s="213">
        <f t="shared" ref="M131" si="97">L131/J131</f>
        <v>0.04</v>
      </c>
      <c r="P131" s="124"/>
    </row>
    <row r="132" spans="1:16" s="166" customFormat="1" ht="14.25" x14ac:dyDescent="0.2">
      <c r="A132" s="446"/>
      <c r="B132" s="329"/>
      <c r="C132" s="330"/>
      <c r="D132" s="330"/>
      <c r="E132" s="448"/>
      <c r="F132" s="187" t="s">
        <v>571</v>
      </c>
      <c r="G132" s="188">
        <v>7</v>
      </c>
      <c r="H132" s="186">
        <v>2019</v>
      </c>
      <c r="I132" s="186">
        <v>300</v>
      </c>
      <c r="J132" s="186">
        <f>I132/12</f>
        <v>25</v>
      </c>
      <c r="K132" s="189">
        <f>I132/12</f>
        <v>25</v>
      </c>
      <c r="L132" s="189">
        <f>N$3-H132</f>
        <v>6</v>
      </c>
      <c r="M132" s="190">
        <f>L132/J132</f>
        <v>0.24</v>
      </c>
      <c r="P132" s="124"/>
    </row>
    <row r="133" spans="1:16" s="166" customFormat="1" ht="14.25" x14ac:dyDescent="0.2">
      <c r="A133" s="446"/>
      <c r="B133" s="329"/>
      <c r="C133" s="330"/>
      <c r="D133" s="330"/>
      <c r="E133" s="448"/>
      <c r="F133" s="187" t="s">
        <v>693</v>
      </c>
      <c r="G133" s="188">
        <v>1</v>
      </c>
      <c r="H133" s="186">
        <v>2024</v>
      </c>
      <c r="I133" s="186">
        <v>300</v>
      </c>
      <c r="J133" s="186">
        <f>I133/12</f>
        <v>25</v>
      </c>
      <c r="K133" s="189">
        <f>I133/12</f>
        <v>25</v>
      </c>
      <c r="L133" s="189">
        <f t="shared" ref="L133" si="98">N$3-H133</f>
        <v>1</v>
      </c>
      <c r="M133" s="190">
        <f t="shared" ref="M133" si="99">L133/J133</f>
        <v>0.04</v>
      </c>
      <c r="P133" s="124"/>
    </row>
    <row r="134" spans="1:16" s="166" customFormat="1" ht="14.25" x14ac:dyDescent="0.2">
      <c r="A134" s="446"/>
      <c r="B134" s="185"/>
      <c r="C134" s="186"/>
      <c r="D134" s="186"/>
      <c r="E134" s="449"/>
      <c r="F134" s="187" t="s">
        <v>601</v>
      </c>
      <c r="G134" s="188">
        <v>1</v>
      </c>
      <c r="H134" s="186">
        <v>2019</v>
      </c>
      <c r="I134" s="186">
        <v>300</v>
      </c>
      <c r="J134" s="186">
        <f t="shared" ref="J134:J136" si="100">I134/12</f>
        <v>25</v>
      </c>
      <c r="K134" s="189">
        <f t="shared" ref="K134:K136" si="101">I134/12</f>
        <v>25</v>
      </c>
      <c r="L134" s="189">
        <f t="shared" ref="L134:L136" si="102">N$3-H134</f>
        <v>6</v>
      </c>
      <c r="M134" s="190">
        <f t="shared" ref="M134:M136" si="103">L134/J134</f>
        <v>0.24</v>
      </c>
      <c r="P134" s="124"/>
    </row>
    <row r="135" spans="1:16" s="166" customFormat="1" ht="14.25" x14ac:dyDescent="0.2">
      <c r="A135" s="446"/>
      <c r="B135" s="185"/>
      <c r="C135" s="186"/>
      <c r="D135" s="186"/>
      <c r="E135" s="449"/>
      <c r="F135" s="187" t="s">
        <v>602</v>
      </c>
      <c r="G135" s="188">
        <v>2</v>
      </c>
      <c r="H135" s="186">
        <v>2019</v>
      </c>
      <c r="I135" s="186">
        <v>300</v>
      </c>
      <c r="J135" s="186">
        <f t="shared" si="100"/>
        <v>25</v>
      </c>
      <c r="K135" s="189">
        <f t="shared" si="101"/>
        <v>25</v>
      </c>
      <c r="L135" s="189">
        <f t="shared" si="102"/>
        <v>6</v>
      </c>
      <c r="M135" s="190">
        <f t="shared" si="103"/>
        <v>0.24</v>
      </c>
      <c r="P135" s="124"/>
    </row>
    <row r="136" spans="1:16" s="166" customFormat="1" ht="14.25" x14ac:dyDescent="0.2">
      <c r="A136" s="446"/>
      <c r="B136" s="185"/>
      <c r="C136" s="186"/>
      <c r="D136" s="186"/>
      <c r="E136" s="449"/>
      <c r="F136" s="187" t="s">
        <v>603</v>
      </c>
      <c r="G136" s="186">
        <v>12</v>
      </c>
      <c r="H136" s="186">
        <v>1988</v>
      </c>
      <c r="I136" s="186">
        <v>300</v>
      </c>
      <c r="J136" s="186">
        <f t="shared" si="100"/>
        <v>25</v>
      </c>
      <c r="K136" s="189">
        <f t="shared" si="101"/>
        <v>25</v>
      </c>
      <c r="L136" s="189">
        <f t="shared" si="102"/>
        <v>37</v>
      </c>
      <c r="M136" s="190">
        <f t="shared" si="103"/>
        <v>1.48</v>
      </c>
      <c r="P136" s="124"/>
    </row>
    <row r="137" spans="1:16" s="167" customFormat="1" thickBot="1" x14ac:dyDescent="0.25">
      <c r="A137" s="437"/>
      <c r="B137" s="191"/>
      <c r="C137" s="192"/>
      <c r="D137" s="192"/>
      <c r="E137" s="450"/>
      <c r="F137" s="193" t="s">
        <v>604</v>
      </c>
      <c r="G137" s="192">
        <v>12</v>
      </c>
      <c r="H137" s="192">
        <v>1988</v>
      </c>
      <c r="I137" s="192">
        <v>300</v>
      </c>
      <c r="J137" s="192">
        <f>I137/12</f>
        <v>25</v>
      </c>
      <c r="K137" s="194">
        <f>I137/12</f>
        <v>25</v>
      </c>
      <c r="L137" s="194">
        <f>N$3-H137</f>
        <v>37</v>
      </c>
      <c r="M137" s="195">
        <f>L137/J137</f>
        <v>1.48</v>
      </c>
      <c r="P137" s="124"/>
    </row>
    <row r="138" spans="1:16" s="167" customFormat="1" ht="14.25" x14ac:dyDescent="0.2">
      <c r="A138" s="435" t="s">
        <v>481</v>
      </c>
      <c r="B138" s="196"/>
      <c r="C138" s="197"/>
      <c r="D138" s="197"/>
      <c r="E138" s="452" t="s">
        <v>447</v>
      </c>
      <c r="F138" s="207" t="s">
        <v>694</v>
      </c>
      <c r="G138" s="200">
        <v>1</v>
      </c>
      <c r="H138" s="197">
        <v>2024</v>
      </c>
      <c r="I138" s="197">
        <v>300</v>
      </c>
      <c r="J138" s="197">
        <f>I138/12</f>
        <v>25</v>
      </c>
      <c r="K138" s="212">
        <f>I138/12</f>
        <v>25</v>
      </c>
      <c r="L138" s="212">
        <f t="shared" ref="L138" si="104">N$3-H138</f>
        <v>1</v>
      </c>
      <c r="M138" s="213">
        <f t="shared" ref="M138" si="105">L138/J138</f>
        <v>0.04</v>
      </c>
      <c r="P138" s="124"/>
    </row>
    <row r="139" spans="1:16" s="167" customFormat="1" ht="14.25" x14ac:dyDescent="0.2">
      <c r="A139" s="446"/>
      <c r="B139" s="329"/>
      <c r="C139" s="330"/>
      <c r="D139" s="330"/>
      <c r="E139" s="448"/>
      <c r="F139" s="187" t="s">
        <v>579</v>
      </c>
      <c r="G139" s="188">
        <v>7</v>
      </c>
      <c r="H139" s="186">
        <v>2019</v>
      </c>
      <c r="I139" s="186">
        <v>300</v>
      </c>
      <c r="J139" s="186">
        <f>I139/12</f>
        <v>25</v>
      </c>
      <c r="K139" s="189">
        <f>I139/12</f>
        <v>25</v>
      </c>
      <c r="L139" s="189">
        <f>N$3-H139</f>
        <v>6</v>
      </c>
      <c r="M139" s="190">
        <f>L139/J139</f>
        <v>0.24</v>
      </c>
      <c r="P139" s="124"/>
    </row>
    <row r="140" spans="1:16" s="167" customFormat="1" ht="14.25" x14ac:dyDescent="0.2">
      <c r="A140" s="446"/>
      <c r="B140" s="329"/>
      <c r="C140" s="330"/>
      <c r="D140" s="330"/>
      <c r="E140" s="448"/>
      <c r="F140" s="187" t="s">
        <v>693</v>
      </c>
      <c r="G140" s="188">
        <v>1</v>
      </c>
      <c r="H140" s="186">
        <v>2024</v>
      </c>
      <c r="I140" s="186">
        <v>300</v>
      </c>
      <c r="J140" s="186">
        <f>I140/12</f>
        <v>25</v>
      </c>
      <c r="K140" s="189">
        <f>I140/12</f>
        <v>25</v>
      </c>
      <c r="L140" s="189">
        <f t="shared" ref="L140" si="106">N$3-H140</f>
        <v>1</v>
      </c>
      <c r="M140" s="190">
        <f t="shared" ref="M140" si="107">L140/J140</f>
        <v>0.04</v>
      </c>
      <c r="P140" s="124"/>
    </row>
    <row r="141" spans="1:16" s="167" customFormat="1" ht="14.25" x14ac:dyDescent="0.2">
      <c r="A141" s="446"/>
      <c r="B141" s="185"/>
      <c r="C141" s="186"/>
      <c r="D141" s="186"/>
      <c r="E141" s="449"/>
      <c r="F141" s="187" t="s">
        <v>580</v>
      </c>
      <c r="G141" s="188">
        <v>6</v>
      </c>
      <c r="H141" s="186">
        <v>1988</v>
      </c>
      <c r="I141" s="186">
        <v>300</v>
      </c>
      <c r="J141" s="186">
        <f t="shared" ref="J141:J146" si="108">I141/12</f>
        <v>25</v>
      </c>
      <c r="K141" s="189">
        <f t="shared" ref="K141:K146" si="109">I141/12</f>
        <v>25</v>
      </c>
      <c r="L141" s="189">
        <f t="shared" ref="L141:L146" si="110">N$3-H141</f>
        <v>37</v>
      </c>
      <c r="M141" s="190">
        <f t="shared" ref="M141:M146" si="111">L141/J141</f>
        <v>1.48</v>
      </c>
      <c r="P141" s="124"/>
    </row>
    <row r="142" spans="1:16" s="167" customFormat="1" ht="14.25" x14ac:dyDescent="0.2">
      <c r="A142" s="446"/>
      <c r="B142" s="185"/>
      <c r="C142" s="186"/>
      <c r="D142" s="186"/>
      <c r="E142" s="449"/>
      <c r="F142" s="187" t="s">
        <v>605</v>
      </c>
      <c r="G142" s="188">
        <f>2</f>
        <v>2</v>
      </c>
      <c r="H142" s="186">
        <v>1988</v>
      </c>
      <c r="I142" s="186">
        <v>300</v>
      </c>
      <c r="J142" s="186">
        <f t="shared" si="108"/>
        <v>25</v>
      </c>
      <c r="K142" s="189">
        <f t="shared" si="109"/>
        <v>25</v>
      </c>
      <c r="L142" s="189">
        <f t="shared" si="110"/>
        <v>37</v>
      </c>
      <c r="M142" s="190">
        <f t="shared" si="111"/>
        <v>1.48</v>
      </c>
      <c r="P142" s="124"/>
    </row>
    <row r="143" spans="1:16" s="167" customFormat="1" ht="14.25" x14ac:dyDescent="0.2">
      <c r="A143" s="446"/>
      <c r="B143" s="185"/>
      <c r="C143" s="186"/>
      <c r="D143" s="186"/>
      <c r="E143" s="449"/>
      <c r="F143" s="187" t="s">
        <v>573</v>
      </c>
      <c r="G143" s="188">
        <f>10+6</f>
        <v>16</v>
      </c>
      <c r="H143" s="186">
        <v>2022</v>
      </c>
      <c r="I143" s="186">
        <v>300</v>
      </c>
      <c r="J143" s="186">
        <f t="shared" si="108"/>
        <v>25</v>
      </c>
      <c r="K143" s="189">
        <f t="shared" si="109"/>
        <v>25</v>
      </c>
      <c r="L143" s="189">
        <f t="shared" si="110"/>
        <v>3</v>
      </c>
      <c r="M143" s="190">
        <f t="shared" si="111"/>
        <v>0.12</v>
      </c>
      <c r="P143" s="124"/>
    </row>
    <row r="144" spans="1:16" s="167" customFormat="1" ht="14.25" x14ac:dyDescent="0.2">
      <c r="A144" s="446"/>
      <c r="B144" s="185"/>
      <c r="C144" s="186"/>
      <c r="D144" s="186"/>
      <c r="E144" s="449"/>
      <c r="F144" s="216" t="s">
        <v>556</v>
      </c>
      <c r="G144" s="188">
        <v>1</v>
      </c>
      <c r="H144" s="186">
        <v>2024</v>
      </c>
      <c r="I144" s="186">
        <v>300</v>
      </c>
      <c r="J144" s="186">
        <f t="shared" si="108"/>
        <v>25</v>
      </c>
      <c r="K144" s="189">
        <f t="shared" si="109"/>
        <v>25</v>
      </c>
      <c r="L144" s="189">
        <f t="shared" si="110"/>
        <v>1</v>
      </c>
      <c r="M144" s="190">
        <f t="shared" si="111"/>
        <v>0.04</v>
      </c>
      <c r="P144" s="124"/>
    </row>
    <row r="145" spans="1:16" s="167" customFormat="1" ht="14.25" x14ac:dyDescent="0.2">
      <c r="A145" s="446"/>
      <c r="B145" s="185"/>
      <c r="C145" s="186"/>
      <c r="D145" s="186"/>
      <c r="E145" s="449"/>
      <c r="F145" s="187" t="s">
        <v>601</v>
      </c>
      <c r="G145" s="188">
        <v>1</v>
      </c>
      <c r="H145" s="186">
        <v>2020</v>
      </c>
      <c r="I145" s="186">
        <v>300</v>
      </c>
      <c r="J145" s="186">
        <f t="shared" si="108"/>
        <v>25</v>
      </c>
      <c r="K145" s="189">
        <f t="shared" si="109"/>
        <v>25</v>
      </c>
      <c r="L145" s="189">
        <f t="shared" si="110"/>
        <v>5</v>
      </c>
      <c r="M145" s="190">
        <f t="shared" si="111"/>
        <v>0.2</v>
      </c>
      <c r="P145" s="124"/>
    </row>
    <row r="146" spans="1:16" s="167" customFormat="1" ht="14.25" x14ac:dyDescent="0.2">
      <c r="A146" s="446"/>
      <c r="B146" s="185"/>
      <c r="C146" s="186"/>
      <c r="D146" s="186"/>
      <c r="E146" s="449"/>
      <c r="F146" s="187" t="s">
        <v>725</v>
      </c>
      <c r="G146" s="188">
        <v>2</v>
      </c>
      <c r="H146" s="186">
        <v>2025</v>
      </c>
      <c r="I146" s="186">
        <v>300</v>
      </c>
      <c r="J146" s="186">
        <f t="shared" si="108"/>
        <v>25</v>
      </c>
      <c r="K146" s="189">
        <f t="shared" si="109"/>
        <v>25</v>
      </c>
      <c r="L146" s="189">
        <f t="shared" si="110"/>
        <v>0</v>
      </c>
      <c r="M146" s="190">
        <f t="shared" si="111"/>
        <v>0</v>
      </c>
      <c r="P146" s="124"/>
    </row>
    <row r="147" spans="1:16" s="167" customFormat="1" ht="14.25" x14ac:dyDescent="0.2">
      <c r="A147" s="436"/>
      <c r="B147" s="185"/>
      <c r="C147" s="186"/>
      <c r="D147" s="186"/>
      <c r="E147" s="449"/>
      <c r="F147" s="187" t="s">
        <v>603</v>
      </c>
      <c r="G147" s="188">
        <v>3</v>
      </c>
      <c r="H147" s="186">
        <v>1988</v>
      </c>
      <c r="I147" s="186">
        <v>300</v>
      </c>
      <c r="J147" s="186">
        <f>I147/12</f>
        <v>25</v>
      </c>
      <c r="K147" s="189">
        <f>I147/12</f>
        <v>25</v>
      </c>
      <c r="L147" s="189">
        <f>N$3-H147</f>
        <v>37</v>
      </c>
      <c r="M147" s="190">
        <f>L147/J147</f>
        <v>1.48</v>
      </c>
      <c r="P147" s="124"/>
    </row>
    <row r="148" spans="1:16" s="167" customFormat="1" thickBot="1" x14ac:dyDescent="0.25">
      <c r="A148" s="437"/>
      <c r="B148" s="191"/>
      <c r="C148" s="192"/>
      <c r="D148" s="192"/>
      <c r="E148" s="450"/>
      <c r="F148" s="193" t="s">
        <v>604</v>
      </c>
      <c r="G148" s="211">
        <v>4</v>
      </c>
      <c r="H148" s="192">
        <v>1988</v>
      </c>
      <c r="I148" s="192">
        <v>300</v>
      </c>
      <c r="J148" s="192">
        <f>I148/12</f>
        <v>25</v>
      </c>
      <c r="K148" s="194">
        <f>I148/12</f>
        <v>25</v>
      </c>
      <c r="L148" s="194">
        <f>N$3-H148</f>
        <v>37</v>
      </c>
      <c r="M148" s="195">
        <f>L148/J148</f>
        <v>1.48</v>
      </c>
      <c r="P148" s="124"/>
    </row>
    <row r="149" spans="1:16" s="169" customFormat="1" ht="14.25" x14ac:dyDescent="0.2">
      <c r="A149" s="435" t="s">
        <v>491</v>
      </c>
      <c r="B149" s="196"/>
      <c r="C149" s="197"/>
      <c r="D149" s="197"/>
      <c r="E149" s="452" t="s">
        <v>453</v>
      </c>
      <c r="F149" s="207" t="s">
        <v>694</v>
      </c>
      <c r="G149" s="200">
        <v>1</v>
      </c>
      <c r="H149" s="197">
        <v>2024</v>
      </c>
      <c r="I149" s="197">
        <v>300</v>
      </c>
      <c r="J149" s="197">
        <f>I149/12</f>
        <v>25</v>
      </c>
      <c r="K149" s="212">
        <f>I149/12</f>
        <v>25</v>
      </c>
      <c r="L149" s="212">
        <f t="shared" ref="L149" si="112">N$3-H149</f>
        <v>1</v>
      </c>
      <c r="M149" s="213">
        <f t="shared" ref="M149" si="113">L149/J149</f>
        <v>0.04</v>
      </c>
      <c r="P149" s="124"/>
    </row>
    <row r="150" spans="1:16" s="169" customFormat="1" ht="14.25" x14ac:dyDescent="0.2">
      <c r="A150" s="446"/>
      <c r="B150" s="329"/>
      <c r="C150" s="330"/>
      <c r="D150" s="330"/>
      <c r="E150" s="448"/>
      <c r="F150" s="187" t="s">
        <v>606</v>
      </c>
      <c r="G150" s="188">
        <v>7</v>
      </c>
      <c r="H150" s="186">
        <v>2019</v>
      </c>
      <c r="I150" s="186">
        <v>300</v>
      </c>
      <c r="J150" s="186">
        <f>I150/12</f>
        <v>25</v>
      </c>
      <c r="K150" s="189">
        <f>I150/12</f>
        <v>25</v>
      </c>
      <c r="L150" s="189">
        <f>N$3-H150</f>
        <v>6</v>
      </c>
      <c r="M150" s="190">
        <f>L150/J150</f>
        <v>0.24</v>
      </c>
      <c r="P150" s="124"/>
    </row>
    <row r="151" spans="1:16" s="169" customFormat="1" ht="14.25" x14ac:dyDescent="0.2">
      <c r="A151" s="446"/>
      <c r="B151" s="329"/>
      <c r="C151" s="330"/>
      <c r="D151" s="330"/>
      <c r="E151" s="448"/>
      <c r="F151" s="187" t="s">
        <v>693</v>
      </c>
      <c r="G151" s="188">
        <v>1</v>
      </c>
      <c r="H151" s="186">
        <v>2024</v>
      </c>
      <c r="I151" s="186">
        <v>300</v>
      </c>
      <c r="J151" s="186">
        <f>I151/12</f>
        <v>25</v>
      </c>
      <c r="K151" s="189">
        <f>I151/12</f>
        <v>25</v>
      </c>
      <c r="L151" s="189">
        <f t="shared" ref="L151" si="114">N$3-H151</f>
        <v>1</v>
      </c>
      <c r="M151" s="190">
        <f t="shared" ref="M151" si="115">L151/J151</f>
        <v>0.04</v>
      </c>
      <c r="P151" s="124"/>
    </row>
    <row r="152" spans="1:16" s="169" customFormat="1" ht="14.25" x14ac:dyDescent="0.2">
      <c r="A152" s="446"/>
      <c r="B152" s="185"/>
      <c r="C152" s="186"/>
      <c r="D152" s="186"/>
      <c r="E152" s="449"/>
      <c r="F152" s="215" t="s">
        <v>607</v>
      </c>
      <c r="G152" s="188">
        <v>1</v>
      </c>
      <c r="H152" s="186">
        <v>2023</v>
      </c>
      <c r="I152" s="186">
        <v>300</v>
      </c>
      <c r="J152" s="186">
        <f t="shared" ref="J152:J168" si="116">I152/12</f>
        <v>25</v>
      </c>
      <c r="K152" s="189">
        <f t="shared" ref="K152:K158" si="117">I152/12</f>
        <v>25</v>
      </c>
      <c r="L152" s="189">
        <f t="shared" ref="L152:L158" si="118">N$3-H152</f>
        <v>2</v>
      </c>
      <c r="M152" s="190">
        <f t="shared" ref="M152:M158" si="119">L152/J152</f>
        <v>0.08</v>
      </c>
      <c r="P152" s="124"/>
    </row>
    <row r="153" spans="1:16" s="169" customFormat="1" ht="14.25" x14ac:dyDescent="0.2">
      <c r="A153" s="446"/>
      <c r="B153" s="185"/>
      <c r="C153" s="186"/>
      <c r="D153" s="186"/>
      <c r="E153" s="449"/>
      <c r="F153" s="215" t="s">
        <v>561</v>
      </c>
      <c r="G153" s="188">
        <v>2</v>
      </c>
      <c r="H153" s="186">
        <v>2023</v>
      </c>
      <c r="I153" s="186">
        <v>300</v>
      </c>
      <c r="J153" s="186">
        <f t="shared" si="116"/>
        <v>25</v>
      </c>
      <c r="K153" s="189">
        <f t="shared" si="117"/>
        <v>25</v>
      </c>
      <c r="L153" s="189">
        <f t="shared" si="118"/>
        <v>2</v>
      </c>
      <c r="M153" s="190">
        <f t="shared" si="119"/>
        <v>0.08</v>
      </c>
      <c r="P153" s="124"/>
    </row>
    <row r="154" spans="1:16" s="169" customFormat="1" ht="14.25" x14ac:dyDescent="0.2">
      <c r="A154" s="446"/>
      <c r="B154" s="185"/>
      <c r="C154" s="186"/>
      <c r="D154" s="186"/>
      <c r="E154" s="449"/>
      <c r="F154" s="187" t="s">
        <v>608</v>
      </c>
      <c r="G154" s="188">
        <f>4+3</f>
        <v>7</v>
      </c>
      <c r="H154" s="186">
        <v>2019</v>
      </c>
      <c r="I154" s="186">
        <v>300</v>
      </c>
      <c r="J154" s="186">
        <f t="shared" si="116"/>
        <v>25</v>
      </c>
      <c r="K154" s="189">
        <f t="shared" si="117"/>
        <v>25</v>
      </c>
      <c r="L154" s="189">
        <f t="shared" si="118"/>
        <v>6</v>
      </c>
      <c r="M154" s="190">
        <f t="shared" si="119"/>
        <v>0.24</v>
      </c>
      <c r="P154" s="124"/>
    </row>
    <row r="155" spans="1:16" s="169" customFormat="1" ht="14.25" x14ac:dyDescent="0.2">
      <c r="A155" s="446"/>
      <c r="B155" s="185"/>
      <c r="C155" s="186"/>
      <c r="D155" s="186"/>
      <c r="E155" s="449"/>
      <c r="F155" s="187" t="s">
        <v>601</v>
      </c>
      <c r="G155" s="188">
        <v>2</v>
      </c>
      <c r="H155" s="186">
        <v>2017</v>
      </c>
      <c r="I155" s="186">
        <v>300</v>
      </c>
      <c r="J155" s="186">
        <f t="shared" si="116"/>
        <v>25</v>
      </c>
      <c r="K155" s="189">
        <f t="shared" si="117"/>
        <v>25</v>
      </c>
      <c r="L155" s="189">
        <f t="shared" si="118"/>
        <v>8</v>
      </c>
      <c r="M155" s="190">
        <f t="shared" si="119"/>
        <v>0.32</v>
      </c>
      <c r="P155" s="124"/>
    </row>
    <row r="156" spans="1:16" s="169" customFormat="1" ht="14.25" x14ac:dyDescent="0.2">
      <c r="A156" s="446"/>
      <c r="B156" s="185"/>
      <c r="C156" s="186"/>
      <c r="D156" s="186"/>
      <c r="E156" s="449"/>
      <c r="F156" s="187" t="s">
        <v>609</v>
      </c>
      <c r="G156" s="188">
        <v>1</v>
      </c>
      <c r="H156" s="186">
        <v>1998</v>
      </c>
      <c r="I156" s="186">
        <v>300</v>
      </c>
      <c r="J156" s="186">
        <f t="shared" si="116"/>
        <v>25</v>
      </c>
      <c r="K156" s="189">
        <f t="shared" si="117"/>
        <v>25</v>
      </c>
      <c r="L156" s="189">
        <f t="shared" si="118"/>
        <v>27</v>
      </c>
      <c r="M156" s="190">
        <f t="shared" si="119"/>
        <v>1.08</v>
      </c>
      <c r="P156" s="124"/>
    </row>
    <row r="157" spans="1:16" s="169" customFormat="1" ht="14.25" x14ac:dyDescent="0.2">
      <c r="A157" s="446"/>
      <c r="B157" s="185"/>
      <c r="C157" s="186"/>
      <c r="D157" s="186"/>
      <c r="E157" s="449"/>
      <c r="F157" s="187" t="s">
        <v>528</v>
      </c>
      <c r="G157" s="188">
        <v>2</v>
      </c>
      <c r="H157" s="186">
        <v>1976</v>
      </c>
      <c r="I157" s="186">
        <v>300</v>
      </c>
      <c r="J157" s="186">
        <f t="shared" si="116"/>
        <v>25</v>
      </c>
      <c r="K157" s="189">
        <f t="shared" si="117"/>
        <v>25</v>
      </c>
      <c r="L157" s="189">
        <f t="shared" si="118"/>
        <v>49</v>
      </c>
      <c r="M157" s="190">
        <f t="shared" si="119"/>
        <v>1.96</v>
      </c>
      <c r="P157" s="124"/>
    </row>
    <row r="158" spans="1:16" s="169" customFormat="1" ht="14.25" x14ac:dyDescent="0.2">
      <c r="A158" s="446"/>
      <c r="B158" s="185"/>
      <c r="C158" s="186"/>
      <c r="D158" s="186"/>
      <c r="E158" s="449"/>
      <c r="F158" s="187" t="s">
        <v>529</v>
      </c>
      <c r="G158" s="188">
        <v>1</v>
      </c>
      <c r="H158" s="186">
        <v>1976</v>
      </c>
      <c r="I158" s="186">
        <v>300</v>
      </c>
      <c r="J158" s="186">
        <f t="shared" si="116"/>
        <v>25</v>
      </c>
      <c r="K158" s="189">
        <f t="shared" si="117"/>
        <v>25</v>
      </c>
      <c r="L158" s="189">
        <f t="shared" si="118"/>
        <v>49</v>
      </c>
      <c r="M158" s="190">
        <f t="shared" si="119"/>
        <v>1.96</v>
      </c>
      <c r="P158" s="124"/>
    </row>
    <row r="159" spans="1:16" s="169" customFormat="1" thickBot="1" x14ac:dyDescent="0.25">
      <c r="A159" s="454"/>
      <c r="B159" s="191"/>
      <c r="C159" s="192"/>
      <c r="D159" s="192"/>
      <c r="E159" s="450"/>
      <c r="F159" s="193" t="s">
        <v>583</v>
      </c>
      <c r="G159" s="211">
        <v>1</v>
      </c>
      <c r="H159" s="192">
        <v>1976</v>
      </c>
      <c r="I159" s="186">
        <v>300</v>
      </c>
      <c r="J159" s="186">
        <f t="shared" si="116"/>
        <v>25</v>
      </c>
      <c r="K159" s="189">
        <f t="shared" ref="K159" si="120">I159/12</f>
        <v>25</v>
      </c>
      <c r="L159" s="189">
        <f t="shared" ref="L159:L160" si="121">N$3-H159</f>
        <v>49</v>
      </c>
      <c r="M159" s="190">
        <f t="shared" ref="M159:M160" si="122">L159/J159</f>
        <v>1.96</v>
      </c>
      <c r="P159" s="124"/>
    </row>
    <row r="160" spans="1:16" s="166" customFormat="1" ht="14.25" x14ac:dyDescent="0.2">
      <c r="A160" s="435" t="s">
        <v>503</v>
      </c>
      <c r="B160" s="196"/>
      <c r="C160" s="197"/>
      <c r="D160" s="197"/>
      <c r="E160" s="452" t="s">
        <v>461</v>
      </c>
      <c r="F160" s="207" t="s">
        <v>694</v>
      </c>
      <c r="G160" s="200">
        <v>1</v>
      </c>
      <c r="H160" s="197">
        <v>2024</v>
      </c>
      <c r="I160" s="197">
        <v>300</v>
      </c>
      <c r="J160" s="197">
        <f>I160/12</f>
        <v>25</v>
      </c>
      <c r="K160" s="212">
        <f>I160/12</f>
        <v>25</v>
      </c>
      <c r="L160" s="212">
        <f t="shared" si="121"/>
        <v>1</v>
      </c>
      <c r="M160" s="213">
        <f t="shared" si="122"/>
        <v>0.04</v>
      </c>
      <c r="P160" s="124"/>
    </row>
    <row r="161" spans="1:16" s="166" customFormat="1" ht="14.25" x14ac:dyDescent="0.2">
      <c r="A161" s="446"/>
      <c r="B161" s="329"/>
      <c r="C161" s="330"/>
      <c r="D161" s="330"/>
      <c r="E161" s="448"/>
      <c r="F161" s="187" t="s">
        <v>586</v>
      </c>
      <c r="G161" s="188">
        <v>7</v>
      </c>
      <c r="H161" s="186">
        <v>2019</v>
      </c>
      <c r="I161" s="186">
        <v>300</v>
      </c>
      <c r="J161" s="186">
        <f>I161/12</f>
        <v>25</v>
      </c>
      <c r="K161" s="189">
        <f>I161/12</f>
        <v>25</v>
      </c>
      <c r="L161" s="189">
        <f>N$3-H161</f>
        <v>6</v>
      </c>
      <c r="M161" s="190">
        <f>L161/J161</f>
        <v>0.24</v>
      </c>
      <c r="P161" s="124"/>
    </row>
    <row r="162" spans="1:16" s="166" customFormat="1" ht="14.25" x14ac:dyDescent="0.2">
      <c r="A162" s="446"/>
      <c r="B162" s="329"/>
      <c r="C162" s="330"/>
      <c r="D162" s="330"/>
      <c r="E162" s="448"/>
      <c r="F162" s="187" t="s">
        <v>693</v>
      </c>
      <c r="G162" s="188">
        <v>1</v>
      </c>
      <c r="H162" s="186">
        <v>2024</v>
      </c>
      <c r="I162" s="186">
        <v>300</v>
      </c>
      <c r="J162" s="186">
        <f>I162/12</f>
        <v>25</v>
      </c>
      <c r="K162" s="189">
        <f>I162/12</f>
        <v>25</v>
      </c>
      <c r="L162" s="189">
        <f t="shared" ref="L162" si="123">N$3-H162</f>
        <v>1</v>
      </c>
      <c r="M162" s="190">
        <f t="shared" ref="M162" si="124">L162/J162</f>
        <v>0.04</v>
      </c>
      <c r="P162" s="124"/>
    </row>
    <row r="163" spans="1:16" s="166" customFormat="1" ht="14.25" x14ac:dyDescent="0.2">
      <c r="A163" s="446"/>
      <c r="B163" s="185"/>
      <c r="C163" s="186"/>
      <c r="D163" s="186"/>
      <c r="E163" s="449"/>
      <c r="F163" s="187" t="s">
        <v>610</v>
      </c>
      <c r="G163" s="188">
        <f>5+1</f>
        <v>6</v>
      </c>
      <c r="H163" s="186">
        <v>1989</v>
      </c>
      <c r="I163" s="186">
        <v>300</v>
      </c>
      <c r="J163" s="186">
        <f t="shared" si="116"/>
        <v>25</v>
      </c>
      <c r="K163" s="189">
        <f t="shared" ref="K163:K168" si="125">I163/12</f>
        <v>25</v>
      </c>
      <c r="L163" s="189">
        <f t="shared" ref="L163:L168" si="126">N$3-H163</f>
        <v>36</v>
      </c>
      <c r="M163" s="190">
        <f t="shared" ref="M163:M168" si="127">L163/J163</f>
        <v>1.44</v>
      </c>
      <c r="P163" s="124"/>
    </row>
    <row r="164" spans="1:16" s="166" customFormat="1" ht="14.25" x14ac:dyDescent="0.2">
      <c r="A164" s="446"/>
      <c r="B164" s="185"/>
      <c r="C164" s="186"/>
      <c r="D164" s="186"/>
      <c r="E164" s="449"/>
      <c r="F164" s="187" t="s">
        <v>611</v>
      </c>
      <c r="G164" s="188">
        <f>3</f>
        <v>3</v>
      </c>
      <c r="H164" s="186">
        <v>1989</v>
      </c>
      <c r="I164" s="186">
        <v>300</v>
      </c>
      <c r="J164" s="186">
        <f t="shared" si="116"/>
        <v>25</v>
      </c>
      <c r="K164" s="189">
        <f t="shared" si="125"/>
        <v>25</v>
      </c>
      <c r="L164" s="189">
        <f t="shared" si="126"/>
        <v>36</v>
      </c>
      <c r="M164" s="190">
        <f t="shared" si="127"/>
        <v>1.44</v>
      </c>
      <c r="P164" s="124"/>
    </row>
    <row r="165" spans="1:16" s="166" customFormat="1" ht="14.25" x14ac:dyDescent="0.2">
      <c r="A165" s="446"/>
      <c r="B165" s="185"/>
      <c r="C165" s="186"/>
      <c r="D165" s="186"/>
      <c r="E165" s="449"/>
      <c r="F165" s="187" t="s">
        <v>608</v>
      </c>
      <c r="G165" s="188">
        <v>1</v>
      </c>
      <c r="H165" s="186">
        <v>2018</v>
      </c>
      <c r="I165" s="186">
        <v>300</v>
      </c>
      <c r="J165" s="186">
        <f t="shared" si="116"/>
        <v>25</v>
      </c>
      <c r="K165" s="189">
        <f t="shared" si="125"/>
        <v>25</v>
      </c>
      <c r="L165" s="189">
        <f t="shared" si="126"/>
        <v>7</v>
      </c>
      <c r="M165" s="190">
        <f t="shared" si="127"/>
        <v>0.28000000000000003</v>
      </c>
      <c r="P165" s="124"/>
    </row>
    <row r="166" spans="1:16" s="166" customFormat="1" ht="14.25" x14ac:dyDescent="0.2">
      <c r="A166" s="446"/>
      <c r="B166" s="185"/>
      <c r="C166" s="186"/>
      <c r="D166" s="186"/>
      <c r="E166" s="449"/>
      <c r="F166" s="187" t="s">
        <v>608</v>
      </c>
      <c r="G166" s="188">
        <v>12</v>
      </c>
      <c r="H166" s="186">
        <v>2019</v>
      </c>
      <c r="I166" s="186">
        <v>300</v>
      </c>
      <c r="J166" s="186">
        <f t="shared" si="116"/>
        <v>25</v>
      </c>
      <c r="K166" s="189">
        <f t="shared" si="125"/>
        <v>25</v>
      </c>
      <c r="L166" s="189">
        <f t="shared" si="126"/>
        <v>6</v>
      </c>
      <c r="M166" s="190">
        <f t="shared" si="127"/>
        <v>0.24</v>
      </c>
      <c r="P166" s="124"/>
    </row>
    <row r="167" spans="1:16" s="166" customFormat="1" ht="14.25" x14ac:dyDescent="0.2">
      <c r="A167" s="446"/>
      <c r="B167" s="185"/>
      <c r="C167" s="186"/>
      <c r="D167" s="186"/>
      <c r="E167" s="449"/>
      <c r="F167" s="187" t="s">
        <v>725</v>
      </c>
      <c r="G167" s="188">
        <v>2</v>
      </c>
      <c r="H167" s="186">
        <v>2025</v>
      </c>
      <c r="I167" s="186">
        <v>300</v>
      </c>
      <c r="J167" s="186">
        <f t="shared" si="116"/>
        <v>25</v>
      </c>
      <c r="K167" s="189">
        <f t="shared" si="125"/>
        <v>25</v>
      </c>
      <c r="L167" s="189">
        <f t="shared" si="126"/>
        <v>0</v>
      </c>
      <c r="M167" s="190">
        <f t="shared" si="127"/>
        <v>0</v>
      </c>
      <c r="P167" s="124"/>
    </row>
    <row r="168" spans="1:16" s="166" customFormat="1" ht="14.25" x14ac:dyDescent="0.2">
      <c r="A168" s="447"/>
      <c r="B168" s="205"/>
      <c r="C168" s="206"/>
      <c r="D168" s="206"/>
      <c r="E168" s="453"/>
      <c r="F168" s="187" t="s">
        <v>601</v>
      </c>
      <c r="G168" s="188">
        <v>1</v>
      </c>
      <c r="H168" s="206">
        <v>2019</v>
      </c>
      <c r="I168" s="186">
        <v>300</v>
      </c>
      <c r="J168" s="186">
        <f t="shared" si="116"/>
        <v>25</v>
      </c>
      <c r="K168" s="189">
        <f t="shared" si="125"/>
        <v>25</v>
      </c>
      <c r="L168" s="189">
        <f t="shared" si="126"/>
        <v>6</v>
      </c>
      <c r="M168" s="190">
        <f t="shared" si="127"/>
        <v>0.24</v>
      </c>
      <c r="P168" s="124"/>
    </row>
    <row r="169" spans="1:16" s="166" customFormat="1" thickBot="1" x14ac:dyDescent="0.25">
      <c r="A169" s="437"/>
      <c r="B169" s="191"/>
      <c r="C169" s="192"/>
      <c r="D169" s="192"/>
      <c r="E169" s="450"/>
      <c r="F169" s="193" t="s">
        <v>540</v>
      </c>
      <c r="G169" s="192">
        <v>4</v>
      </c>
      <c r="H169" s="192">
        <v>1989</v>
      </c>
      <c r="I169" s="192">
        <v>300</v>
      </c>
      <c r="J169" s="192">
        <f>I169/12</f>
        <v>25</v>
      </c>
      <c r="K169" s="194">
        <f>I169/12</f>
        <v>25</v>
      </c>
      <c r="L169" s="194">
        <f>N$3-H169</f>
        <v>36</v>
      </c>
      <c r="M169" s="195">
        <f>L169/J169</f>
        <v>1.44</v>
      </c>
      <c r="P169" s="124"/>
    </row>
    <row r="170" spans="1:16" s="166" customFormat="1" ht="14.25" x14ac:dyDescent="0.2">
      <c r="A170" s="435" t="s">
        <v>511</v>
      </c>
      <c r="B170" s="196"/>
      <c r="C170" s="197"/>
      <c r="D170" s="197"/>
      <c r="E170" s="452" t="s">
        <v>612</v>
      </c>
      <c r="F170" s="207" t="s">
        <v>694</v>
      </c>
      <c r="G170" s="200">
        <v>1</v>
      </c>
      <c r="H170" s="197">
        <v>2024</v>
      </c>
      <c r="I170" s="197">
        <v>300</v>
      </c>
      <c r="J170" s="197">
        <f>I170/12</f>
        <v>25</v>
      </c>
      <c r="K170" s="212">
        <f>I170/12</f>
        <v>25</v>
      </c>
      <c r="L170" s="212">
        <f t="shared" ref="L170" si="128">N$3-H170</f>
        <v>1</v>
      </c>
      <c r="M170" s="213">
        <f t="shared" ref="M170" si="129">L170/J170</f>
        <v>0.04</v>
      </c>
      <c r="P170" s="124"/>
    </row>
    <row r="171" spans="1:16" s="166" customFormat="1" ht="14.25" x14ac:dyDescent="0.2">
      <c r="A171" s="446"/>
      <c r="B171" s="329"/>
      <c r="C171" s="330"/>
      <c r="D171" s="330"/>
      <c r="E171" s="448"/>
      <c r="F171" s="187" t="s">
        <v>571</v>
      </c>
      <c r="G171" s="188">
        <v>7</v>
      </c>
      <c r="H171" s="186">
        <v>2019</v>
      </c>
      <c r="I171" s="186">
        <v>300</v>
      </c>
      <c r="J171" s="186">
        <f>I171/12</f>
        <v>25</v>
      </c>
      <c r="K171" s="189">
        <f>I171/12</f>
        <v>25</v>
      </c>
      <c r="L171" s="189">
        <f>N$3-H171</f>
        <v>6</v>
      </c>
      <c r="M171" s="190">
        <f>L171/J171</f>
        <v>0.24</v>
      </c>
      <c r="P171" s="124"/>
    </row>
    <row r="172" spans="1:16" s="166" customFormat="1" ht="14.25" x14ac:dyDescent="0.2">
      <c r="A172" s="446"/>
      <c r="B172" s="329"/>
      <c r="C172" s="330"/>
      <c r="D172" s="330"/>
      <c r="E172" s="448"/>
      <c r="F172" s="187" t="s">
        <v>693</v>
      </c>
      <c r="G172" s="188">
        <v>1</v>
      </c>
      <c r="H172" s="186">
        <v>2024</v>
      </c>
      <c r="I172" s="186">
        <v>300</v>
      </c>
      <c r="J172" s="186">
        <f>I172/12</f>
        <v>25</v>
      </c>
      <c r="K172" s="189">
        <f>I172/12</f>
        <v>25</v>
      </c>
      <c r="L172" s="189">
        <f t="shared" ref="L172" si="130">N$3-H172</f>
        <v>1</v>
      </c>
      <c r="M172" s="190">
        <f t="shared" ref="M172" si="131">L172/J172</f>
        <v>0.04</v>
      </c>
      <c r="P172" s="124"/>
    </row>
    <row r="173" spans="1:16" s="166" customFormat="1" ht="14.25" x14ac:dyDescent="0.2">
      <c r="A173" s="446"/>
      <c r="B173" s="185"/>
      <c r="C173" s="186"/>
      <c r="D173" s="186"/>
      <c r="E173" s="449"/>
      <c r="F173" s="187" t="s">
        <v>613</v>
      </c>
      <c r="G173" s="188">
        <f>8+6</f>
        <v>14</v>
      </c>
      <c r="H173" s="186">
        <v>2020</v>
      </c>
      <c r="I173" s="186">
        <v>300</v>
      </c>
      <c r="J173" s="186">
        <f t="shared" ref="J173:J181" si="132">I173/12</f>
        <v>25</v>
      </c>
      <c r="K173" s="189">
        <f t="shared" ref="K173:K181" si="133">I173/12</f>
        <v>25</v>
      </c>
      <c r="L173" s="189">
        <f t="shared" ref="L173:L181" si="134">N$3-H173</f>
        <v>5</v>
      </c>
      <c r="M173" s="190">
        <f t="shared" ref="M173:M181" si="135">L173/J173</f>
        <v>0.2</v>
      </c>
      <c r="P173" s="124"/>
    </row>
    <row r="174" spans="1:16" s="166" customFormat="1" ht="14.25" x14ac:dyDescent="0.2">
      <c r="A174" s="446"/>
      <c r="B174" s="185"/>
      <c r="C174" s="186"/>
      <c r="D174" s="186"/>
      <c r="E174" s="449"/>
      <c r="F174" s="187" t="s">
        <v>614</v>
      </c>
      <c r="G174" s="188">
        <v>2</v>
      </c>
      <c r="H174" s="186">
        <v>1995</v>
      </c>
      <c r="I174" s="186">
        <v>300</v>
      </c>
      <c r="J174" s="186">
        <f t="shared" si="132"/>
        <v>25</v>
      </c>
      <c r="K174" s="189">
        <f t="shared" si="133"/>
        <v>25</v>
      </c>
      <c r="L174" s="189">
        <f t="shared" si="134"/>
        <v>30</v>
      </c>
      <c r="M174" s="190">
        <f t="shared" si="135"/>
        <v>1.2</v>
      </c>
      <c r="P174" s="124"/>
    </row>
    <row r="175" spans="1:16" s="166" customFormat="1" ht="14.25" x14ac:dyDescent="0.2">
      <c r="A175" s="446"/>
      <c r="B175" s="185"/>
      <c r="C175" s="186"/>
      <c r="D175" s="186"/>
      <c r="E175" s="449"/>
      <c r="F175" s="187" t="s">
        <v>615</v>
      </c>
      <c r="G175" s="188">
        <v>1</v>
      </c>
      <c r="H175" s="186">
        <v>1995</v>
      </c>
      <c r="I175" s="186">
        <v>300</v>
      </c>
      <c r="J175" s="186">
        <f t="shared" si="132"/>
        <v>25</v>
      </c>
      <c r="K175" s="189">
        <f t="shared" si="133"/>
        <v>25</v>
      </c>
      <c r="L175" s="189">
        <f t="shared" si="134"/>
        <v>30</v>
      </c>
      <c r="M175" s="190">
        <f t="shared" si="135"/>
        <v>1.2</v>
      </c>
      <c r="P175" s="124"/>
    </row>
    <row r="176" spans="1:16" s="166" customFormat="1" ht="14.25" x14ac:dyDescent="0.2">
      <c r="A176" s="446"/>
      <c r="B176" s="185"/>
      <c r="C176" s="186"/>
      <c r="D176" s="186"/>
      <c r="E176" s="449"/>
      <c r="F176" s="216" t="s">
        <v>556</v>
      </c>
      <c r="G176" s="188">
        <v>1</v>
      </c>
      <c r="H176" s="186">
        <v>2023</v>
      </c>
      <c r="I176" s="186">
        <v>300</v>
      </c>
      <c r="J176" s="186">
        <f t="shared" si="132"/>
        <v>25</v>
      </c>
      <c r="K176" s="189">
        <f t="shared" si="133"/>
        <v>25</v>
      </c>
      <c r="L176" s="189">
        <f t="shared" si="134"/>
        <v>2</v>
      </c>
      <c r="M176" s="190">
        <f t="shared" si="135"/>
        <v>0.08</v>
      </c>
      <c r="P176" s="124"/>
    </row>
    <row r="177" spans="1:16" s="166" customFormat="1" ht="14.25" x14ac:dyDescent="0.2">
      <c r="A177" s="446"/>
      <c r="B177" s="185"/>
      <c r="C177" s="186"/>
      <c r="D177" s="186"/>
      <c r="E177" s="449"/>
      <c r="F177" s="187" t="s">
        <v>608</v>
      </c>
      <c r="G177" s="188">
        <v>1</v>
      </c>
      <c r="H177" s="186">
        <v>2020</v>
      </c>
      <c r="I177" s="186">
        <v>300</v>
      </c>
      <c r="J177" s="186">
        <f t="shared" si="132"/>
        <v>25</v>
      </c>
      <c r="K177" s="189">
        <f t="shared" si="133"/>
        <v>25</v>
      </c>
      <c r="L177" s="189">
        <f t="shared" si="134"/>
        <v>5</v>
      </c>
      <c r="M177" s="190">
        <f t="shared" si="135"/>
        <v>0.2</v>
      </c>
      <c r="P177" s="124"/>
    </row>
    <row r="178" spans="1:16" s="166" customFormat="1" ht="14.25" x14ac:dyDescent="0.2">
      <c r="A178" s="446"/>
      <c r="B178" s="185"/>
      <c r="C178" s="186"/>
      <c r="D178" s="186"/>
      <c r="E178" s="449"/>
      <c r="F178" s="187" t="s">
        <v>608</v>
      </c>
      <c r="G178" s="188">
        <v>6</v>
      </c>
      <c r="H178" s="186">
        <v>2021</v>
      </c>
      <c r="I178" s="186">
        <v>300</v>
      </c>
      <c r="J178" s="186">
        <f t="shared" si="132"/>
        <v>25</v>
      </c>
      <c r="K178" s="189">
        <f t="shared" si="133"/>
        <v>25</v>
      </c>
      <c r="L178" s="189">
        <f t="shared" si="134"/>
        <v>4</v>
      </c>
      <c r="M178" s="190">
        <f t="shared" si="135"/>
        <v>0.16</v>
      </c>
      <c r="P178" s="124"/>
    </row>
    <row r="179" spans="1:16" s="166" customFormat="1" ht="14.25" x14ac:dyDescent="0.2">
      <c r="A179" s="446"/>
      <c r="B179" s="185"/>
      <c r="C179" s="186"/>
      <c r="D179" s="186"/>
      <c r="E179" s="449"/>
      <c r="F179" s="187" t="s">
        <v>608</v>
      </c>
      <c r="G179" s="188">
        <v>1</v>
      </c>
      <c r="H179" s="186">
        <v>2021</v>
      </c>
      <c r="I179" s="186">
        <v>300</v>
      </c>
      <c r="J179" s="186">
        <f t="shared" si="132"/>
        <v>25</v>
      </c>
      <c r="K179" s="189">
        <f t="shared" si="133"/>
        <v>25</v>
      </c>
      <c r="L179" s="189">
        <f t="shared" si="134"/>
        <v>4</v>
      </c>
      <c r="M179" s="190">
        <f t="shared" si="135"/>
        <v>0.16</v>
      </c>
      <c r="P179" s="124"/>
    </row>
    <row r="180" spans="1:16" s="166" customFormat="1" ht="14.25" x14ac:dyDescent="0.2">
      <c r="A180" s="446"/>
      <c r="B180" s="185"/>
      <c r="C180" s="186"/>
      <c r="D180" s="186"/>
      <c r="E180" s="449"/>
      <c r="F180" s="187" t="s">
        <v>601</v>
      </c>
      <c r="G180" s="188">
        <v>1</v>
      </c>
      <c r="H180" s="186">
        <v>2019</v>
      </c>
      <c r="I180" s="186">
        <v>300</v>
      </c>
      <c r="J180" s="186">
        <f t="shared" si="132"/>
        <v>25</v>
      </c>
      <c r="K180" s="189">
        <f t="shared" si="133"/>
        <v>25</v>
      </c>
      <c r="L180" s="189">
        <f t="shared" si="134"/>
        <v>6</v>
      </c>
      <c r="M180" s="190">
        <f t="shared" si="135"/>
        <v>0.24</v>
      </c>
      <c r="P180" s="124"/>
    </row>
    <row r="181" spans="1:16" s="166" customFormat="1" ht="14.25" x14ac:dyDescent="0.2">
      <c r="A181" s="446"/>
      <c r="B181" s="185"/>
      <c r="C181" s="186"/>
      <c r="D181" s="186"/>
      <c r="E181" s="449"/>
      <c r="F181" s="335" t="s">
        <v>692</v>
      </c>
      <c r="G181" s="188">
        <f>1+1</f>
        <v>2</v>
      </c>
      <c r="H181" s="186">
        <v>2024</v>
      </c>
      <c r="I181" s="186">
        <v>300</v>
      </c>
      <c r="J181" s="186">
        <f t="shared" si="132"/>
        <v>25</v>
      </c>
      <c r="K181" s="189">
        <f t="shared" si="133"/>
        <v>25</v>
      </c>
      <c r="L181" s="189">
        <f t="shared" si="134"/>
        <v>1</v>
      </c>
      <c r="M181" s="190">
        <f t="shared" si="135"/>
        <v>0.04</v>
      </c>
      <c r="P181" s="124"/>
    </row>
    <row r="182" spans="1:16" s="166" customFormat="1" ht="14.25" x14ac:dyDescent="0.2">
      <c r="A182" s="436"/>
      <c r="B182" s="185"/>
      <c r="C182" s="186"/>
      <c r="D182" s="186"/>
      <c r="E182" s="449"/>
      <c r="F182" s="187" t="s">
        <v>616</v>
      </c>
      <c r="G182" s="188">
        <f>3+3</f>
        <v>6</v>
      </c>
      <c r="H182" s="186">
        <v>1974</v>
      </c>
      <c r="I182" s="186">
        <v>300</v>
      </c>
      <c r="J182" s="186">
        <f>I182/12</f>
        <v>25</v>
      </c>
      <c r="K182" s="189">
        <f>I182/12</f>
        <v>25</v>
      </c>
      <c r="L182" s="189">
        <f>N$3-H182</f>
        <v>51</v>
      </c>
      <c r="M182" s="190">
        <f>L182/J182</f>
        <v>2.04</v>
      </c>
      <c r="P182" s="124"/>
    </row>
    <row r="183" spans="1:16" s="166" customFormat="1" thickBot="1" x14ac:dyDescent="0.25">
      <c r="A183" s="437"/>
      <c r="B183" s="191"/>
      <c r="C183" s="192"/>
      <c r="D183" s="192"/>
      <c r="E183" s="450"/>
      <c r="F183" s="193" t="s">
        <v>617</v>
      </c>
      <c r="G183" s="211">
        <v>1</v>
      </c>
      <c r="H183" s="192">
        <v>1974</v>
      </c>
      <c r="I183" s="192">
        <v>300</v>
      </c>
      <c r="J183" s="192">
        <f>I183/12</f>
        <v>25</v>
      </c>
      <c r="K183" s="194">
        <f>I183/12</f>
        <v>25</v>
      </c>
      <c r="L183" s="194">
        <f>N$3-H183</f>
        <v>51</v>
      </c>
      <c r="M183" s="195">
        <f>L183/J183</f>
        <v>2.04</v>
      </c>
      <c r="P183" s="124"/>
    </row>
    <row r="184" spans="1:16" s="166" customFormat="1" ht="14.25" x14ac:dyDescent="0.2">
      <c r="A184" s="435" t="s">
        <v>618</v>
      </c>
      <c r="B184" s="196"/>
      <c r="C184" s="197"/>
      <c r="D184" s="197"/>
      <c r="E184" s="452" t="s">
        <v>466</v>
      </c>
      <c r="F184" s="207" t="s">
        <v>619</v>
      </c>
      <c r="G184" s="200">
        <v>1</v>
      </c>
      <c r="H184" s="197">
        <v>2019</v>
      </c>
      <c r="I184" s="197">
        <v>300</v>
      </c>
      <c r="J184" s="197">
        <f>I184/12</f>
        <v>25</v>
      </c>
      <c r="K184" s="212">
        <f>I184/12</f>
        <v>25</v>
      </c>
      <c r="L184" s="212">
        <f>N$3-H184</f>
        <v>6</v>
      </c>
      <c r="M184" s="213">
        <f>L184/J184</f>
        <v>0.24</v>
      </c>
      <c r="P184" s="124"/>
    </row>
    <row r="185" spans="1:16" s="166" customFormat="1" ht="14.25" x14ac:dyDescent="0.2">
      <c r="A185" s="446"/>
      <c r="B185" s="329"/>
      <c r="C185" s="330"/>
      <c r="D185" s="330"/>
      <c r="E185" s="448"/>
      <c r="F185" s="187" t="s">
        <v>694</v>
      </c>
      <c r="G185" s="188">
        <v>1</v>
      </c>
      <c r="H185" s="186">
        <v>2024</v>
      </c>
      <c r="I185" s="186">
        <v>300</v>
      </c>
      <c r="J185" s="186">
        <f>I185/12</f>
        <v>25</v>
      </c>
      <c r="K185" s="189">
        <f>I185/12</f>
        <v>25</v>
      </c>
      <c r="L185" s="189">
        <f t="shared" ref="L185" si="136">N$3-H185</f>
        <v>1</v>
      </c>
      <c r="M185" s="190">
        <f t="shared" ref="M185" si="137">L185/J185</f>
        <v>0.04</v>
      </c>
      <c r="P185" s="124"/>
    </row>
    <row r="186" spans="1:16" s="166" customFormat="1" ht="14.25" x14ac:dyDescent="0.2">
      <c r="A186" s="446"/>
      <c r="B186" s="185"/>
      <c r="C186" s="186"/>
      <c r="D186" s="186"/>
      <c r="E186" s="449"/>
      <c r="F186" s="187" t="s">
        <v>571</v>
      </c>
      <c r="G186" s="188">
        <v>7</v>
      </c>
      <c r="H186" s="186">
        <v>2019</v>
      </c>
      <c r="I186" s="186">
        <v>300</v>
      </c>
      <c r="J186" s="186">
        <f t="shared" ref="J186:J194" si="138">I186/12</f>
        <v>25</v>
      </c>
      <c r="K186" s="189">
        <f t="shared" ref="K186:K194" si="139">I186/12</f>
        <v>25</v>
      </c>
      <c r="L186" s="189">
        <f t="shared" ref="L186:L194" si="140">N$3-H186</f>
        <v>6</v>
      </c>
      <c r="M186" s="190">
        <f t="shared" ref="M186:M194" si="141">L186/J186</f>
        <v>0.24</v>
      </c>
      <c r="P186" s="124"/>
    </row>
    <row r="187" spans="1:16" s="166" customFormat="1" ht="14.25" x14ac:dyDescent="0.2">
      <c r="A187" s="446"/>
      <c r="B187" s="185"/>
      <c r="C187" s="186"/>
      <c r="D187" s="186"/>
      <c r="E187" s="449"/>
      <c r="F187" s="187" t="s">
        <v>693</v>
      </c>
      <c r="G187" s="188">
        <v>1</v>
      </c>
      <c r="H187" s="186">
        <v>2024</v>
      </c>
      <c r="I187" s="186">
        <v>300</v>
      </c>
      <c r="J187" s="186">
        <f>I187/12</f>
        <v>25</v>
      </c>
      <c r="K187" s="189">
        <f>I187/12</f>
        <v>25</v>
      </c>
      <c r="L187" s="189">
        <f t="shared" si="140"/>
        <v>1</v>
      </c>
      <c r="M187" s="190">
        <f t="shared" si="141"/>
        <v>0.04</v>
      </c>
      <c r="P187" s="124"/>
    </row>
    <row r="188" spans="1:16" s="166" customFormat="1" ht="14.25" x14ac:dyDescent="0.2">
      <c r="A188" s="446"/>
      <c r="B188" s="185"/>
      <c r="C188" s="186"/>
      <c r="D188" s="186"/>
      <c r="E188" s="449"/>
      <c r="F188" s="187" t="s">
        <v>613</v>
      </c>
      <c r="G188" s="188">
        <f>8+6</f>
        <v>14</v>
      </c>
      <c r="H188" s="186">
        <v>2020</v>
      </c>
      <c r="I188" s="186">
        <v>300</v>
      </c>
      <c r="J188" s="186">
        <f t="shared" si="138"/>
        <v>25</v>
      </c>
      <c r="K188" s="189">
        <f t="shared" si="139"/>
        <v>25</v>
      </c>
      <c r="L188" s="189">
        <f t="shared" si="140"/>
        <v>5</v>
      </c>
      <c r="M188" s="190">
        <f t="shared" si="141"/>
        <v>0.2</v>
      </c>
      <c r="P188" s="124"/>
    </row>
    <row r="189" spans="1:16" s="166" customFormat="1" ht="14.25" x14ac:dyDescent="0.2">
      <c r="A189" s="446"/>
      <c r="B189" s="185"/>
      <c r="C189" s="186"/>
      <c r="D189" s="186"/>
      <c r="E189" s="449"/>
      <c r="F189" s="187" t="s">
        <v>620</v>
      </c>
      <c r="G189" s="188">
        <v>1</v>
      </c>
      <c r="H189" s="186">
        <v>2020</v>
      </c>
      <c r="I189" s="186">
        <v>300</v>
      </c>
      <c r="J189" s="186">
        <f t="shared" si="138"/>
        <v>25</v>
      </c>
      <c r="K189" s="189">
        <f t="shared" si="139"/>
        <v>25</v>
      </c>
      <c r="L189" s="189">
        <f t="shared" si="140"/>
        <v>5</v>
      </c>
      <c r="M189" s="190">
        <f t="shared" si="141"/>
        <v>0.2</v>
      </c>
      <c r="P189" s="124"/>
    </row>
    <row r="190" spans="1:16" s="166" customFormat="1" ht="14.25" x14ac:dyDescent="0.2">
      <c r="A190" s="446"/>
      <c r="B190" s="185"/>
      <c r="C190" s="186"/>
      <c r="D190" s="186"/>
      <c r="E190" s="449"/>
      <c r="F190" s="187" t="s">
        <v>621</v>
      </c>
      <c r="G190" s="188">
        <v>1</v>
      </c>
      <c r="H190" s="186">
        <v>2018</v>
      </c>
      <c r="I190" s="186">
        <v>300</v>
      </c>
      <c r="J190" s="186">
        <f t="shared" si="138"/>
        <v>25</v>
      </c>
      <c r="K190" s="189">
        <f t="shared" si="139"/>
        <v>25</v>
      </c>
      <c r="L190" s="189">
        <f t="shared" si="140"/>
        <v>7</v>
      </c>
      <c r="M190" s="190">
        <f t="shared" si="141"/>
        <v>0.28000000000000003</v>
      </c>
      <c r="P190" s="124"/>
    </row>
    <row r="191" spans="1:16" s="166" customFormat="1" ht="14.25" x14ac:dyDescent="0.2">
      <c r="A191" s="446"/>
      <c r="B191" s="185"/>
      <c r="C191" s="186"/>
      <c r="D191" s="186"/>
      <c r="E191" s="449"/>
      <c r="F191" s="216" t="s">
        <v>556</v>
      </c>
      <c r="G191" s="188">
        <v>8</v>
      </c>
      <c r="H191" s="186">
        <v>2023</v>
      </c>
      <c r="I191" s="186">
        <v>300</v>
      </c>
      <c r="J191" s="186">
        <f t="shared" si="138"/>
        <v>25</v>
      </c>
      <c r="K191" s="189">
        <f t="shared" si="139"/>
        <v>25</v>
      </c>
      <c r="L191" s="189">
        <f t="shared" si="140"/>
        <v>2</v>
      </c>
      <c r="M191" s="190">
        <f t="shared" si="141"/>
        <v>0.08</v>
      </c>
      <c r="P191" s="124"/>
    </row>
    <row r="192" spans="1:16" s="166" customFormat="1" ht="14.25" x14ac:dyDescent="0.2">
      <c r="A192" s="446"/>
      <c r="B192" s="185"/>
      <c r="C192" s="186"/>
      <c r="D192" s="186"/>
      <c r="E192" s="449"/>
      <c r="F192" s="187" t="s">
        <v>608</v>
      </c>
      <c r="G192" s="188">
        <v>1</v>
      </c>
      <c r="H192" s="218">
        <v>2020</v>
      </c>
      <c r="I192" s="186">
        <v>300</v>
      </c>
      <c r="J192" s="186">
        <f t="shared" si="138"/>
        <v>25</v>
      </c>
      <c r="K192" s="189">
        <f t="shared" si="139"/>
        <v>25</v>
      </c>
      <c r="L192" s="189">
        <f t="shared" si="140"/>
        <v>5</v>
      </c>
      <c r="M192" s="190">
        <f t="shared" si="141"/>
        <v>0.2</v>
      </c>
      <c r="O192" s="166" t="s">
        <v>622</v>
      </c>
      <c r="P192" s="124"/>
    </row>
    <row r="193" spans="1:16" s="166" customFormat="1" ht="14.25" x14ac:dyDescent="0.2">
      <c r="A193" s="447"/>
      <c r="B193" s="205"/>
      <c r="C193" s="206"/>
      <c r="D193" s="206"/>
      <c r="E193" s="453"/>
      <c r="F193" s="187" t="s">
        <v>601</v>
      </c>
      <c r="G193" s="188">
        <v>1</v>
      </c>
      <c r="H193" s="186">
        <v>2019</v>
      </c>
      <c r="I193" s="186">
        <v>300</v>
      </c>
      <c r="J193" s="186">
        <f t="shared" si="138"/>
        <v>25</v>
      </c>
      <c r="K193" s="189">
        <f t="shared" si="139"/>
        <v>25</v>
      </c>
      <c r="L193" s="189">
        <f t="shared" si="140"/>
        <v>6</v>
      </c>
      <c r="M193" s="190">
        <f t="shared" si="141"/>
        <v>0.24</v>
      </c>
      <c r="P193" s="124"/>
    </row>
    <row r="194" spans="1:16" s="166" customFormat="1" ht="14.25" x14ac:dyDescent="0.2">
      <c r="A194" s="447"/>
      <c r="B194" s="205"/>
      <c r="C194" s="206"/>
      <c r="D194" s="206"/>
      <c r="E194" s="453"/>
      <c r="F194" s="187" t="s">
        <v>601</v>
      </c>
      <c r="G194" s="188">
        <v>1</v>
      </c>
      <c r="H194" s="186">
        <v>2020</v>
      </c>
      <c r="I194" s="186">
        <v>300</v>
      </c>
      <c r="J194" s="186">
        <f t="shared" si="138"/>
        <v>25</v>
      </c>
      <c r="K194" s="189">
        <f t="shared" si="139"/>
        <v>25</v>
      </c>
      <c r="L194" s="189">
        <f t="shared" si="140"/>
        <v>5</v>
      </c>
      <c r="M194" s="190">
        <f t="shared" si="141"/>
        <v>0.2</v>
      </c>
      <c r="P194" s="124"/>
    </row>
    <row r="195" spans="1:16" s="166" customFormat="1" thickBot="1" x14ac:dyDescent="0.25">
      <c r="A195" s="454"/>
      <c r="B195" s="191"/>
      <c r="C195" s="192"/>
      <c r="D195" s="192"/>
      <c r="E195" s="450"/>
      <c r="F195" s="193" t="s">
        <v>601</v>
      </c>
      <c r="G195" s="211">
        <v>2</v>
      </c>
      <c r="H195" s="192"/>
      <c r="I195" s="192"/>
      <c r="J195" s="192"/>
      <c r="K195" s="194"/>
      <c r="L195" s="194"/>
      <c r="M195" s="195"/>
      <c r="P195" s="124"/>
    </row>
    <row r="196" spans="1:16" s="167" customFormat="1" ht="14.25" x14ac:dyDescent="0.2">
      <c r="A196" s="435" t="s">
        <v>623</v>
      </c>
      <c r="B196" s="196"/>
      <c r="C196" s="197"/>
      <c r="D196" s="197"/>
      <c r="E196" s="452" t="s">
        <v>473</v>
      </c>
      <c r="F196" s="207" t="s">
        <v>694</v>
      </c>
      <c r="G196" s="200">
        <v>1</v>
      </c>
      <c r="H196" s="197">
        <v>2024</v>
      </c>
      <c r="I196" s="197">
        <v>300</v>
      </c>
      <c r="J196" s="197">
        <f>I196/12</f>
        <v>25</v>
      </c>
      <c r="K196" s="212">
        <f>I196/12</f>
        <v>25</v>
      </c>
      <c r="L196" s="212">
        <f t="shared" ref="L196" si="142">N$3-H196</f>
        <v>1</v>
      </c>
      <c r="M196" s="213">
        <f t="shared" ref="M196" si="143">L196/J196</f>
        <v>0.04</v>
      </c>
      <c r="P196" s="124"/>
    </row>
    <row r="197" spans="1:16" s="167" customFormat="1" ht="14.25" x14ac:dyDescent="0.2">
      <c r="A197" s="446"/>
      <c r="B197" s="329"/>
      <c r="C197" s="330"/>
      <c r="D197" s="330"/>
      <c r="E197" s="448"/>
      <c r="F197" s="187" t="s">
        <v>586</v>
      </c>
      <c r="G197" s="188">
        <v>7</v>
      </c>
      <c r="H197" s="186">
        <v>2019</v>
      </c>
      <c r="I197" s="186">
        <v>300</v>
      </c>
      <c r="J197" s="186">
        <f>I197/12</f>
        <v>25</v>
      </c>
      <c r="K197" s="189">
        <f>I197/12</f>
        <v>25</v>
      </c>
      <c r="L197" s="189">
        <f>N$3-H197</f>
        <v>6</v>
      </c>
      <c r="M197" s="190">
        <f>L197/J197</f>
        <v>0.24</v>
      </c>
      <c r="P197" s="124"/>
    </row>
    <row r="198" spans="1:16" s="167" customFormat="1" ht="14.25" x14ac:dyDescent="0.2">
      <c r="A198" s="446"/>
      <c r="B198" s="329"/>
      <c r="C198" s="330"/>
      <c r="D198" s="330"/>
      <c r="E198" s="448"/>
      <c r="F198" s="187" t="s">
        <v>693</v>
      </c>
      <c r="G198" s="188">
        <v>1</v>
      </c>
      <c r="H198" s="186">
        <v>2024</v>
      </c>
      <c r="I198" s="186">
        <v>300</v>
      </c>
      <c r="J198" s="186">
        <f>I198/12</f>
        <v>25</v>
      </c>
      <c r="K198" s="189">
        <f>I198/12</f>
        <v>25</v>
      </c>
      <c r="L198" s="189">
        <f t="shared" ref="L198" si="144">N$3-H198</f>
        <v>1</v>
      </c>
      <c r="M198" s="190">
        <f t="shared" ref="M198" si="145">L198/J198</f>
        <v>0.04</v>
      </c>
      <c r="P198" s="124"/>
    </row>
    <row r="199" spans="1:16" s="167" customFormat="1" ht="14.25" x14ac:dyDescent="0.2">
      <c r="A199" s="436"/>
      <c r="B199" s="185"/>
      <c r="C199" s="186"/>
      <c r="D199" s="186"/>
      <c r="E199" s="449"/>
      <c r="F199" s="187" t="s">
        <v>613</v>
      </c>
      <c r="G199" s="188">
        <f>8+6</f>
        <v>14</v>
      </c>
      <c r="H199" s="186">
        <v>2019</v>
      </c>
      <c r="I199" s="186">
        <v>300</v>
      </c>
      <c r="J199" s="186">
        <f>I199/12</f>
        <v>25</v>
      </c>
      <c r="K199" s="189">
        <f>I199/12</f>
        <v>25</v>
      </c>
      <c r="L199" s="189">
        <f>N$3-H199</f>
        <v>6</v>
      </c>
      <c r="M199" s="190">
        <f>L199/J199</f>
        <v>0.24</v>
      </c>
      <c r="P199" s="124"/>
    </row>
    <row r="200" spans="1:16" s="167" customFormat="1" ht="14.25" x14ac:dyDescent="0.2">
      <c r="A200" s="436"/>
      <c r="B200" s="185"/>
      <c r="C200" s="186"/>
      <c r="D200" s="186"/>
      <c r="E200" s="449"/>
      <c r="F200" s="334" t="s">
        <v>691</v>
      </c>
      <c r="G200" s="188">
        <v>14</v>
      </c>
      <c r="H200" s="186">
        <v>2024</v>
      </c>
      <c r="I200" s="186">
        <v>300</v>
      </c>
      <c r="J200" s="186">
        <f t="shared" ref="J200:J201" si="146">I200/12</f>
        <v>25</v>
      </c>
      <c r="K200" s="189">
        <f t="shared" ref="K200:K201" si="147">I200/12</f>
        <v>25</v>
      </c>
      <c r="L200" s="189">
        <f t="shared" ref="L200:L201" si="148">N$3-H200</f>
        <v>1</v>
      </c>
      <c r="M200" s="190">
        <f t="shared" ref="M200:M201" si="149">L200/J200</f>
        <v>0.04</v>
      </c>
      <c r="P200" s="124"/>
    </row>
    <row r="201" spans="1:16" s="167" customFormat="1" ht="14.25" x14ac:dyDescent="0.2">
      <c r="A201" s="436"/>
      <c r="B201" s="185"/>
      <c r="C201" s="186"/>
      <c r="D201" s="186"/>
      <c r="E201" s="449"/>
      <c r="F201" s="187" t="s">
        <v>608</v>
      </c>
      <c r="G201" s="188">
        <v>1</v>
      </c>
      <c r="H201" s="186">
        <v>2024</v>
      </c>
      <c r="I201" s="186">
        <v>300</v>
      </c>
      <c r="J201" s="186">
        <f t="shared" si="146"/>
        <v>25</v>
      </c>
      <c r="K201" s="189">
        <f t="shared" si="147"/>
        <v>25</v>
      </c>
      <c r="L201" s="189">
        <f t="shared" si="148"/>
        <v>1</v>
      </c>
      <c r="M201" s="190">
        <f t="shared" si="149"/>
        <v>0.04</v>
      </c>
      <c r="P201" s="124"/>
    </row>
    <row r="202" spans="1:16" s="167" customFormat="1" ht="14.25" x14ac:dyDescent="0.2">
      <c r="A202" s="436"/>
      <c r="B202" s="185"/>
      <c r="C202" s="186"/>
      <c r="D202" s="186"/>
      <c r="E202" s="449"/>
      <c r="F202" s="187" t="s">
        <v>601</v>
      </c>
      <c r="G202" s="188">
        <v>2</v>
      </c>
      <c r="H202" s="186">
        <v>2019</v>
      </c>
      <c r="I202" s="186">
        <v>300</v>
      </c>
      <c r="J202" s="186">
        <f t="shared" ref="J202:J203" si="150">I202/12</f>
        <v>25</v>
      </c>
      <c r="K202" s="189">
        <f t="shared" ref="K202" si="151">I202/12</f>
        <v>25</v>
      </c>
      <c r="L202" s="189">
        <f t="shared" ref="L202" si="152">N$3-H202</f>
        <v>6</v>
      </c>
      <c r="M202" s="190">
        <f t="shared" ref="M202" si="153">L202/J202</f>
        <v>0.24</v>
      </c>
      <c r="P202" s="124"/>
    </row>
    <row r="203" spans="1:16" s="167" customFormat="1" ht="14.25" x14ac:dyDescent="0.2">
      <c r="A203" s="436"/>
      <c r="B203" s="185"/>
      <c r="C203" s="186"/>
      <c r="D203" s="186"/>
      <c r="E203" s="449"/>
      <c r="F203" s="187" t="s">
        <v>557</v>
      </c>
      <c r="G203" s="188">
        <v>1</v>
      </c>
      <c r="H203" s="186">
        <v>2015</v>
      </c>
      <c r="I203" s="186">
        <v>300</v>
      </c>
      <c r="J203" s="186">
        <f t="shared" si="150"/>
        <v>25</v>
      </c>
      <c r="K203" s="189">
        <f t="shared" ref="K203" si="154">I203/12</f>
        <v>25</v>
      </c>
      <c r="L203" s="189">
        <f t="shared" ref="L203" si="155">N$3-H203</f>
        <v>10</v>
      </c>
      <c r="M203" s="190">
        <f t="shared" ref="M203" si="156">L203/J203</f>
        <v>0.4</v>
      </c>
      <c r="P203" s="124"/>
    </row>
    <row r="204" spans="1:16" s="167" customFormat="1" ht="14.25" x14ac:dyDescent="0.2">
      <c r="A204" s="436"/>
      <c r="B204" s="185"/>
      <c r="C204" s="186"/>
      <c r="D204" s="186"/>
      <c r="E204" s="449"/>
      <c r="F204" s="187" t="s">
        <v>624</v>
      </c>
      <c r="G204" s="188">
        <f>12-7</f>
        <v>5</v>
      </c>
      <c r="H204" s="186">
        <v>1975</v>
      </c>
      <c r="I204" s="186">
        <v>300</v>
      </c>
      <c r="J204" s="186">
        <f t="shared" ref="J204:J215" si="157">I204/12</f>
        <v>25</v>
      </c>
      <c r="K204" s="189">
        <f t="shared" ref="K204:K238" si="158">I204/12</f>
        <v>25</v>
      </c>
      <c r="L204" s="189">
        <f t="shared" ref="L204:L238" si="159">N$3-H204</f>
        <v>50</v>
      </c>
      <c r="M204" s="190">
        <f>L204/J204</f>
        <v>2</v>
      </c>
      <c r="P204" s="124"/>
    </row>
    <row r="205" spans="1:16" s="167" customFormat="1" thickBot="1" x14ac:dyDescent="0.25">
      <c r="A205" s="437"/>
      <c r="B205" s="191"/>
      <c r="C205" s="192"/>
      <c r="D205" s="192"/>
      <c r="E205" s="450"/>
      <c r="F205" s="193" t="s">
        <v>625</v>
      </c>
      <c r="G205" s="211">
        <f>12-8</f>
        <v>4</v>
      </c>
      <c r="H205" s="192">
        <v>1975</v>
      </c>
      <c r="I205" s="192">
        <v>300</v>
      </c>
      <c r="J205" s="192">
        <f t="shared" si="157"/>
        <v>25</v>
      </c>
      <c r="K205" s="194">
        <f t="shared" si="158"/>
        <v>25</v>
      </c>
      <c r="L205" s="194">
        <f t="shared" si="159"/>
        <v>50</v>
      </c>
      <c r="M205" s="195">
        <f>L205/J205</f>
        <v>2</v>
      </c>
      <c r="P205" s="124"/>
    </row>
    <row r="206" spans="1:16" s="167" customFormat="1" ht="14.25" x14ac:dyDescent="0.2">
      <c r="A206" s="435" t="s">
        <v>626</v>
      </c>
      <c r="B206" s="196"/>
      <c r="C206" s="197"/>
      <c r="D206" s="197"/>
      <c r="E206" s="452" t="s">
        <v>627</v>
      </c>
      <c r="F206" s="207" t="s">
        <v>694</v>
      </c>
      <c r="G206" s="200">
        <v>1</v>
      </c>
      <c r="H206" s="197">
        <v>2024</v>
      </c>
      <c r="I206" s="197">
        <v>300</v>
      </c>
      <c r="J206" s="197">
        <f>I206/12</f>
        <v>25</v>
      </c>
      <c r="K206" s="212">
        <f>I206/12</f>
        <v>25</v>
      </c>
      <c r="L206" s="212">
        <f t="shared" si="159"/>
        <v>1</v>
      </c>
      <c r="M206" s="213">
        <f t="shared" ref="M206" si="160">L206/J206</f>
        <v>0.04</v>
      </c>
      <c r="P206" s="124"/>
    </row>
    <row r="207" spans="1:16" s="167" customFormat="1" ht="14.25" x14ac:dyDescent="0.2">
      <c r="A207" s="446"/>
      <c r="B207" s="329"/>
      <c r="C207" s="330"/>
      <c r="D207" s="330"/>
      <c r="E207" s="448"/>
      <c r="F207" s="187" t="s">
        <v>586</v>
      </c>
      <c r="G207" s="188">
        <v>7</v>
      </c>
      <c r="H207" s="186">
        <v>2019</v>
      </c>
      <c r="I207" s="186">
        <v>300</v>
      </c>
      <c r="J207" s="186">
        <f t="shared" ref="J207" si="161">I207/12</f>
        <v>25</v>
      </c>
      <c r="K207" s="189">
        <f t="shared" ref="K207" si="162">I207/12</f>
        <v>25</v>
      </c>
      <c r="L207" s="189">
        <f t="shared" ref="L207:L208" si="163">N$3-H207</f>
        <v>6</v>
      </c>
      <c r="M207" s="190">
        <f t="shared" ref="M207:M208" si="164">L207/J207</f>
        <v>0.24</v>
      </c>
      <c r="P207" s="124"/>
    </row>
    <row r="208" spans="1:16" s="167" customFormat="1" ht="14.25" x14ac:dyDescent="0.2">
      <c r="A208" s="446"/>
      <c r="B208" s="329"/>
      <c r="C208" s="330"/>
      <c r="D208" s="330"/>
      <c r="E208" s="448"/>
      <c r="F208" s="187" t="s">
        <v>693</v>
      </c>
      <c r="G208" s="188">
        <v>1</v>
      </c>
      <c r="H208" s="186">
        <v>2024</v>
      </c>
      <c r="I208" s="186">
        <v>300</v>
      </c>
      <c r="J208" s="186">
        <f>I208/12</f>
        <v>25</v>
      </c>
      <c r="K208" s="189">
        <f>I208/12</f>
        <v>25</v>
      </c>
      <c r="L208" s="189">
        <f t="shared" si="163"/>
        <v>1</v>
      </c>
      <c r="M208" s="190">
        <f t="shared" si="164"/>
        <v>0.04</v>
      </c>
      <c r="P208" s="124"/>
    </row>
    <row r="209" spans="1:16" s="167" customFormat="1" ht="14.25" x14ac:dyDescent="0.2">
      <c r="A209" s="446"/>
      <c r="B209" s="329"/>
      <c r="C209" s="330"/>
      <c r="D209" s="330"/>
      <c r="E209" s="448"/>
      <c r="F209" s="340" t="s">
        <v>691</v>
      </c>
      <c r="G209" s="188">
        <v>1</v>
      </c>
      <c r="H209" s="186">
        <v>2024</v>
      </c>
      <c r="I209" s="186">
        <v>300</v>
      </c>
      <c r="J209" s="186">
        <f t="shared" ref="J209" si="165">I209/12</f>
        <v>25</v>
      </c>
      <c r="K209" s="189">
        <f t="shared" ref="K209" si="166">I209/12</f>
        <v>25</v>
      </c>
      <c r="L209" s="189">
        <f t="shared" ref="L209" si="167">N$3-H209</f>
        <v>1</v>
      </c>
      <c r="M209" s="190">
        <f t="shared" ref="M209" si="168">L209/J209</f>
        <v>0.04</v>
      </c>
      <c r="P209" s="124"/>
    </row>
    <row r="210" spans="1:16" s="167" customFormat="1" ht="14.25" x14ac:dyDescent="0.2">
      <c r="A210" s="436"/>
      <c r="B210" s="185"/>
      <c r="C210" s="186"/>
      <c r="D210" s="186"/>
      <c r="E210" s="449"/>
      <c r="F210" s="187" t="s">
        <v>628</v>
      </c>
      <c r="G210" s="188">
        <v>1</v>
      </c>
      <c r="H210" s="186">
        <v>2019</v>
      </c>
      <c r="I210" s="186">
        <v>300</v>
      </c>
      <c r="J210" s="186">
        <f t="shared" si="157"/>
        <v>25</v>
      </c>
      <c r="K210" s="189">
        <f t="shared" si="158"/>
        <v>25</v>
      </c>
      <c r="L210" s="189">
        <f t="shared" si="159"/>
        <v>6</v>
      </c>
      <c r="M210" s="190">
        <f t="shared" ref="M210:M229" si="169">L210/J210</f>
        <v>0.24</v>
      </c>
      <c r="P210" s="124"/>
    </row>
    <row r="211" spans="1:16" s="167" customFormat="1" ht="14.25" x14ac:dyDescent="0.2">
      <c r="A211" s="436"/>
      <c r="B211" s="185"/>
      <c r="C211" s="186"/>
      <c r="D211" s="186"/>
      <c r="E211" s="449"/>
      <c r="F211" s="187" t="s">
        <v>601</v>
      </c>
      <c r="G211" s="188">
        <v>1</v>
      </c>
      <c r="H211" s="186">
        <v>2020</v>
      </c>
      <c r="I211" s="186">
        <v>300</v>
      </c>
      <c r="J211" s="186">
        <f t="shared" si="157"/>
        <v>25</v>
      </c>
      <c r="K211" s="189">
        <f t="shared" si="158"/>
        <v>25</v>
      </c>
      <c r="L211" s="189">
        <f t="shared" si="159"/>
        <v>5</v>
      </c>
      <c r="M211" s="190">
        <f t="shared" si="169"/>
        <v>0.2</v>
      </c>
      <c r="P211" s="124"/>
    </row>
    <row r="212" spans="1:16" s="167" customFormat="1" ht="14.25" x14ac:dyDescent="0.2">
      <c r="A212" s="436"/>
      <c r="B212" s="185"/>
      <c r="C212" s="186"/>
      <c r="D212" s="186"/>
      <c r="E212" s="449"/>
      <c r="F212" s="187" t="s">
        <v>602</v>
      </c>
      <c r="G212" s="188">
        <v>2</v>
      </c>
      <c r="H212" s="186">
        <v>2020</v>
      </c>
      <c r="I212" s="186">
        <v>300</v>
      </c>
      <c r="J212" s="186">
        <f t="shared" si="157"/>
        <v>25</v>
      </c>
      <c r="K212" s="189">
        <f t="shared" si="158"/>
        <v>25</v>
      </c>
      <c r="L212" s="189">
        <f t="shared" si="159"/>
        <v>5</v>
      </c>
      <c r="M212" s="190">
        <f t="shared" si="169"/>
        <v>0.2</v>
      </c>
      <c r="P212" s="124"/>
    </row>
    <row r="213" spans="1:16" s="167" customFormat="1" ht="14.25" x14ac:dyDescent="0.2">
      <c r="A213" s="436"/>
      <c r="B213" s="185"/>
      <c r="C213" s="186"/>
      <c r="D213" s="186"/>
      <c r="E213" s="449"/>
      <c r="F213" s="187" t="s">
        <v>551</v>
      </c>
      <c r="G213" s="188">
        <f>4+2+1</f>
        <v>7</v>
      </c>
      <c r="H213" s="186">
        <v>1984</v>
      </c>
      <c r="I213" s="186">
        <v>300</v>
      </c>
      <c r="J213" s="186">
        <f t="shared" si="157"/>
        <v>25</v>
      </c>
      <c r="K213" s="189">
        <f t="shared" si="158"/>
        <v>25</v>
      </c>
      <c r="L213" s="189">
        <f t="shared" si="159"/>
        <v>41</v>
      </c>
      <c r="M213" s="190">
        <f t="shared" si="169"/>
        <v>1.64</v>
      </c>
      <c r="P213" s="124"/>
    </row>
    <row r="214" spans="1:16" s="167" customFormat="1" ht="14.25" x14ac:dyDescent="0.2">
      <c r="A214" s="436"/>
      <c r="B214" s="185"/>
      <c r="C214" s="186"/>
      <c r="D214" s="186"/>
      <c r="E214" s="449"/>
      <c r="F214" s="187" t="s">
        <v>629</v>
      </c>
      <c r="G214" s="188">
        <v>4</v>
      </c>
      <c r="H214" s="186">
        <v>1984</v>
      </c>
      <c r="I214" s="186">
        <v>300</v>
      </c>
      <c r="J214" s="186">
        <f t="shared" si="157"/>
        <v>25</v>
      </c>
      <c r="K214" s="189">
        <f t="shared" si="158"/>
        <v>25</v>
      </c>
      <c r="L214" s="189">
        <f t="shared" si="159"/>
        <v>41</v>
      </c>
      <c r="M214" s="190">
        <f t="shared" si="169"/>
        <v>1.64</v>
      </c>
      <c r="P214" s="124"/>
    </row>
    <row r="215" spans="1:16" s="167" customFormat="1" ht="14.25" x14ac:dyDescent="0.2">
      <c r="A215" s="436"/>
      <c r="B215" s="185"/>
      <c r="C215" s="186"/>
      <c r="D215" s="186"/>
      <c r="E215" s="449"/>
      <c r="F215" s="187" t="s">
        <v>630</v>
      </c>
      <c r="G215" s="188">
        <f>2+2</f>
        <v>4</v>
      </c>
      <c r="H215" s="186">
        <v>1984</v>
      </c>
      <c r="I215" s="186">
        <v>300</v>
      </c>
      <c r="J215" s="186">
        <f t="shared" si="157"/>
        <v>25</v>
      </c>
      <c r="K215" s="189">
        <f t="shared" si="158"/>
        <v>25</v>
      </c>
      <c r="L215" s="189">
        <f t="shared" si="159"/>
        <v>41</v>
      </c>
      <c r="M215" s="190">
        <f t="shared" si="169"/>
        <v>1.64</v>
      </c>
      <c r="P215" s="124"/>
    </row>
    <row r="216" spans="1:16" s="167" customFormat="1" thickBot="1" x14ac:dyDescent="0.25">
      <c r="A216" s="437"/>
      <c r="B216" s="191"/>
      <c r="C216" s="192"/>
      <c r="D216" s="192"/>
      <c r="E216" s="450"/>
      <c r="F216" s="193" t="s">
        <v>631</v>
      </c>
      <c r="G216" s="211">
        <f>4+4</f>
        <v>8</v>
      </c>
      <c r="H216" s="192">
        <v>1984</v>
      </c>
      <c r="I216" s="192">
        <v>360</v>
      </c>
      <c r="J216" s="192">
        <v>30</v>
      </c>
      <c r="K216" s="194">
        <f t="shared" si="158"/>
        <v>30</v>
      </c>
      <c r="L216" s="194">
        <f t="shared" si="159"/>
        <v>41</v>
      </c>
      <c r="M216" s="195">
        <f t="shared" si="169"/>
        <v>1.3666666666666667</v>
      </c>
      <c r="P216" s="124"/>
    </row>
    <row r="217" spans="1:16" s="167" customFormat="1" ht="14.25" x14ac:dyDescent="0.2">
      <c r="A217" s="435" t="s">
        <v>632</v>
      </c>
      <c r="B217" s="196"/>
      <c r="C217" s="197"/>
      <c r="D217" s="197"/>
      <c r="E217" s="452" t="s">
        <v>633</v>
      </c>
      <c r="F217" s="207" t="s">
        <v>694</v>
      </c>
      <c r="G217" s="200">
        <v>1</v>
      </c>
      <c r="H217" s="197">
        <v>2024</v>
      </c>
      <c r="I217" s="197">
        <v>300</v>
      </c>
      <c r="J217" s="197">
        <f>I217/12</f>
        <v>25</v>
      </c>
      <c r="K217" s="212">
        <f>I217/12</f>
        <v>25</v>
      </c>
      <c r="L217" s="212">
        <f t="shared" ref="L217:L219" si="170">N$3-H217</f>
        <v>1</v>
      </c>
      <c r="M217" s="213">
        <f t="shared" si="169"/>
        <v>0.04</v>
      </c>
      <c r="P217" s="124"/>
    </row>
    <row r="218" spans="1:16" s="167" customFormat="1" ht="14.25" x14ac:dyDescent="0.2">
      <c r="A218" s="446"/>
      <c r="B218" s="329"/>
      <c r="C218" s="330"/>
      <c r="D218" s="330"/>
      <c r="E218" s="448"/>
      <c r="F218" s="187" t="s">
        <v>586</v>
      </c>
      <c r="G218" s="188">
        <v>7</v>
      </c>
      <c r="H218" s="186">
        <v>2019</v>
      </c>
      <c r="I218" s="186">
        <v>300</v>
      </c>
      <c r="J218" s="186">
        <f t="shared" ref="J218" si="171">I218/12</f>
        <v>25</v>
      </c>
      <c r="K218" s="189">
        <f t="shared" ref="K218" si="172">I218/12</f>
        <v>25</v>
      </c>
      <c r="L218" s="189">
        <f t="shared" si="170"/>
        <v>6</v>
      </c>
      <c r="M218" s="190">
        <f t="shared" si="169"/>
        <v>0.24</v>
      </c>
      <c r="P218" s="124"/>
    </row>
    <row r="219" spans="1:16" s="167" customFormat="1" ht="14.25" x14ac:dyDescent="0.2">
      <c r="A219" s="446"/>
      <c r="B219" s="329"/>
      <c r="C219" s="330"/>
      <c r="D219" s="330"/>
      <c r="E219" s="448"/>
      <c r="F219" s="187" t="s">
        <v>693</v>
      </c>
      <c r="G219" s="188">
        <v>1</v>
      </c>
      <c r="H219" s="186">
        <v>2024</v>
      </c>
      <c r="I219" s="186">
        <v>300</v>
      </c>
      <c r="J219" s="186">
        <f>I219/12</f>
        <v>25</v>
      </c>
      <c r="K219" s="189">
        <f>I219/12</f>
        <v>25</v>
      </c>
      <c r="L219" s="189">
        <f t="shared" si="170"/>
        <v>1</v>
      </c>
      <c r="M219" s="190">
        <f t="shared" si="169"/>
        <v>0.04</v>
      </c>
      <c r="P219" s="124"/>
    </row>
    <row r="220" spans="1:16" s="167" customFormat="1" ht="14.25" x14ac:dyDescent="0.2">
      <c r="A220" s="436"/>
      <c r="B220" s="185"/>
      <c r="C220" s="186"/>
      <c r="D220" s="186"/>
      <c r="E220" s="449"/>
      <c r="F220" s="187" t="s">
        <v>613</v>
      </c>
      <c r="G220" s="188">
        <f>8+6</f>
        <v>14</v>
      </c>
      <c r="H220" s="186">
        <v>2019</v>
      </c>
      <c r="I220" s="186">
        <v>300</v>
      </c>
      <c r="J220" s="186">
        <f t="shared" ref="J220:J228" si="173">I220/12</f>
        <v>25</v>
      </c>
      <c r="K220" s="189">
        <f t="shared" si="158"/>
        <v>25</v>
      </c>
      <c r="L220" s="189">
        <f t="shared" si="159"/>
        <v>6</v>
      </c>
      <c r="M220" s="190">
        <f t="shared" si="169"/>
        <v>0.24</v>
      </c>
      <c r="P220" s="124"/>
    </row>
    <row r="221" spans="1:16" s="167" customFormat="1" ht="14.25" x14ac:dyDescent="0.2">
      <c r="A221" s="436"/>
      <c r="B221" s="185"/>
      <c r="C221" s="186"/>
      <c r="D221" s="186"/>
      <c r="E221" s="449"/>
      <c r="F221" s="216" t="s">
        <v>556</v>
      </c>
      <c r="G221" s="188">
        <v>5</v>
      </c>
      <c r="H221" s="186">
        <v>2023</v>
      </c>
      <c r="I221" s="186">
        <v>300</v>
      </c>
      <c r="J221" s="186">
        <f t="shared" si="173"/>
        <v>25</v>
      </c>
      <c r="K221" s="189">
        <f t="shared" si="158"/>
        <v>25</v>
      </c>
      <c r="L221" s="189">
        <f t="shared" si="159"/>
        <v>2</v>
      </c>
      <c r="M221" s="190">
        <f t="shared" si="169"/>
        <v>0.08</v>
      </c>
      <c r="P221" s="124"/>
    </row>
    <row r="222" spans="1:16" s="167" customFormat="1" ht="14.25" x14ac:dyDescent="0.2">
      <c r="A222" s="436"/>
      <c r="B222" s="185"/>
      <c r="C222" s="186"/>
      <c r="D222" s="186"/>
      <c r="E222" s="449"/>
      <c r="F222" s="187" t="s">
        <v>634</v>
      </c>
      <c r="G222" s="188">
        <v>2</v>
      </c>
      <c r="H222" s="186">
        <v>2023</v>
      </c>
      <c r="I222" s="186">
        <v>300</v>
      </c>
      <c r="J222" s="186">
        <f t="shared" si="173"/>
        <v>25</v>
      </c>
      <c r="K222" s="189">
        <f t="shared" si="158"/>
        <v>25</v>
      </c>
      <c r="L222" s="189">
        <f t="shared" si="159"/>
        <v>2</v>
      </c>
      <c r="M222" s="190">
        <f t="shared" si="169"/>
        <v>0.08</v>
      </c>
      <c r="P222" s="124"/>
    </row>
    <row r="223" spans="1:16" s="167" customFormat="1" ht="14.25" x14ac:dyDescent="0.2">
      <c r="A223" s="436"/>
      <c r="B223" s="185"/>
      <c r="C223" s="186"/>
      <c r="D223" s="186"/>
      <c r="E223" s="449"/>
      <c r="F223" s="187" t="s">
        <v>634</v>
      </c>
      <c r="G223" s="188">
        <v>2</v>
      </c>
      <c r="H223" s="186">
        <v>2021</v>
      </c>
      <c r="I223" s="186">
        <v>300</v>
      </c>
      <c r="J223" s="186">
        <f>I223/12</f>
        <v>25</v>
      </c>
      <c r="K223" s="189">
        <f>I223/12</f>
        <v>25</v>
      </c>
      <c r="L223" s="189">
        <f>N$3-H223</f>
        <v>4</v>
      </c>
      <c r="M223" s="190">
        <f>L223/J223</f>
        <v>0.16</v>
      </c>
      <c r="P223" s="124"/>
    </row>
    <row r="224" spans="1:16" s="167" customFormat="1" ht="14.25" x14ac:dyDescent="0.2">
      <c r="A224" s="436"/>
      <c r="B224" s="185"/>
      <c r="C224" s="186"/>
      <c r="D224" s="186"/>
      <c r="E224" s="449"/>
      <c r="F224" s="187" t="s">
        <v>634</v>
      </c>
      <c r="G224" s="188">
        <v>7</v>
      </c>
      <c r="H224" s="186">
        <v>2022</v>
      </c>
      <c r="I224" s="186">
        <v>300</v>
      </c>
      <c r="J224" s="186">
        <f>I224/12</f>
        <v>25</v>
      </c>
      <c r="K224" s="189">
        <f>I224/12</f>
        <v>25</v>
      </c>
      <c r="L224" s="189">
        <f>N$3-H224</f>
        <v>3</v>
      </c>
      <c r="M224" s="190">
        <f>L224/J224</f>
        <v>0.12</v>
      </c>
      <c r="P224" s="124"/>
    </row>
    <row r="225" spans="1:16" s="167" customFormat="1" ht="14.25" x14ac:dyDescent="0.2">
      <c r="A225" s="436"/>
      <c r="B225" s="185"/>
      <c r="C225" s="186"/>
      <c r="D225" s="186"/>
      <c r="E225" s="449"/>
      <c r="F225" s="187" t="s">
        <v>634</v>
      </c>
      <c r="G225" s="188">
        <v>2</v>
      </c>
      <c r="H225" s="186">
        <v>2021</v>
      </c>
      <c r="I225" s="186">
        <v>300</v>
      </c>
      <c r="J225" s="186">
        <f>I225/12</f>
        <v>25</v>
      </c>
      <c r="K225" s="189">
        <f>I225/12</f>
        <v>25</v>
      </c>
      <c r="L225" s="189">
        <f>N$3-H225</f>
        <v>4</v>
      </c>
      <c r="M225" s="190">
        <f>L225/J225</f>
        <v>0.16</v>
      </c>
      <c r="P225" s="124"/>
    </row>
    <row r="226" spans="1:16" s="167" customFormat="1" ht="14.25" x14ac:dyDescent="0.2">
      <c r="A226" s="436"/>
      <c r="B226" s="185"/>
      <c r="C226" s="186"/>
      <c r="D226" s="186"/>
      <c r="E226" s="449"/>
      <c r="F226" s="187" t="s">
        <v>601</v>
      </c>
      <c r="G226" s="188">
        <v>1</v>
      </c>
      <c r="H226" s="186">
        <v>2019</v>
      </c>
      <c r="I226" s="186">
        <v>300</v>
      </c>
      <c r="J226" s="186">
        <f t="shared" si="173"/>
        <v>25</v>
      </c>
      <c r="K226" s="189">
        <f t="shared" si="158"/>
        <v>25</v>
      </c>
      <c r="L226" s="189">
        <f t="shared" si="159"/>
        <v>6</v>
      </c>
      <c r="M226" s="190">
        <f t="shared" si="169"/>
        <v>0.24</v>
      </c>
      <c r="P226" s="124"/>
    </row>
    <row r="227" spans="1:16" s="167" customFormat="1" ht="14.25" x14ac:dyDescent="0.2">
      <c r="A227" s="436"/>
      <c r="B227" s="185"/>
      <c r="C227" s="186"/>
      <c r="D227" s="186"/>
      <c r="E227" s="449"/>
      <c r="F227" s="187" t="s">
        <v>635</v>
      </c>
      <c r="G227" s="188">
        <v>1</v>
      </c>
      <c r="H227" s="186">
        <v>2023</v>
      </c>
      <c r="I227" s="186">
        <v>300</v>
      </c>
      <c r="J227" s="186">
        <f t="shared" si="173"/>
        <v>25</v>
      </c>
      <c r="K227" s="189">
        <f t="shared" si="158"/>
        <v>25</v>
      </c>
      <c r="L227" s="189">
        <f t="shared" si="159"/>
        <v>2</v>
      </c>
      <c r="M227" s="190">
        <f t="shared" si="169"/>
        <v>0.08</v>
      </c>
      <c r="P227" s="124"/>
    </row>
    <row r="228" spans="1:16" s="167" customFormat="1" ht="14.25" x14ac:dyDescent="0.2">
      <c r="A228" s="436"/>
      <c r="B228" s="185"/>
      <c r="C228" s="186"/>
      <c r="D228" s="186"/>
      <c r="E228" s="449"/>
      <c r="F228" s="187" t="s">
        <v>636</v>
      </c>
      <c r="G228" s="188">
        <v>1</v>
      </c>
      <c r="H228" s="186">
        <v>2012</v>
      </c>
      <c r="I228" s="186">
        <v>300</v>
      </c>
      <c r="J228" s="186">
        <f t="shared" si="173"/>
        <v>25</v>
      </c>
      <c r="K228" s="189">
        <f t="shared" si="158"/>
        <v>25</v>
      </c>
      <c r="L228" s="189">
        <f t="shared" si="159"/>
        <v>13</v>
      </c>
      <c r="M228" s="190">
        <f t="shared" si="169"/>
        <v>0.52</v>
      </c>
      <c r="P228" s="124"/>
    </row>
    <row r="229" spans="1:16" s="167" customFormat="1" thickBot="1" x14ac:dyDescent="0.25">
      <c r="A229" s="437"/>
      <c r="B229" s="191"/>
      <c r="C229" s="192"/>
      <c r="D229" s="192"/>
      <c r="E229" s="450"/>
      <c r="F229" s="193" t="s">
        <v>637</v>
      </c>
      <c r="G229" s="192">
        <v>1</v>
      </c>
      <c r="H229" s="192">
        <v>1981</v>
      </c>
      <c r="I229" s="192">
        <v>360</v>
      </c>
      <c r="J229" s="192">
        <v>30</v>
      </c>
      <c r="K229" s="194">
        <f t="shared" si="158"/>
        <v>30</v>
      </c>
      <c r="L229" s="194">
        <f t="shared" si="159"/>
        <v>44</v>
      </c>
      <c r="M229" s="195">
        <f t="shared" si="169"/>
        <v>1.4666666666666666</v>
      </c>
      <c r="P229" s="124"/>
    </row>
    <row r="230" spans="1:16" s="169" customFormat="1" ht="14.25" x14ac:dyDescent="0.2">
      <c r="A230" s="435" t="s">
        <v>638</v>
      </c>
      <c r="B230" s="196"/>
      <c r="C230" s="197"/>
      <c r="D230" s="197"/>
      <c r="E230" s="452" t="s">
        <v>482</v>
      </c>
      <c r="F230" s="214" t="s">
        <v>560</v>
      </c>
      <c r="G230" s="200">
        <v>1</v>
      </c>
      <c r="H230" s="197">
        <v>2023</v>
      </c>
      <c r="I230" s="197">
        <v>300</v>
      </c>
      <c r="J230" s="197">
        <f>I230/12</f>
        <v>25</v>
      </c>
      <c r="K230" s="212">
        <f t="shared" si="158"/>
        <v>25</v>
      </c>
      <c r="L230" s="212">
        <f t="shared" si="159"/>
        <v>2</v>
      </c>
      <c r="M230" s="213">
        <f>L230/J230</f>
        <v>0.08</v>
      </c>
      <c r="P230" s="124"/>
    </row>
    <row r="231" spans="1:16" s="169" customFormat="1" ht="14.25" x14ac:dyDescent="0.2">
      <c r="A231" s="446"/>
      <c r="B231" s="329"/>
      <c r="C231" s="330"/>
      <c r="D231" s="330"/>
      <c r="E231" s="448"/>
      <c r="F231" s="215" t="s">
        <v>560</v>
      </c>
      <c r="G231" s="188">
        <v>1</v>
      </c>
      <c r="H231" s="186">
        <v>2024</v>
      </c>
      <c r="I231" s="186">
        <v>300</v>
      </c>
      <c r="J231" s="186">
        <f>I231/12</f>
        <v>25</v>
      </c>
      <c r="K231" s="189">
        <f t="shared" ref="K231" si="174">I231/12</f>
        <v>25</v>
      </c>
      <c r="L231" s="189">
        <f t="shared" ref="L231" si="175">N$3-H231</f>
        <v>1</v>
      </c>
      <c r="M231" s="190">
        <f>L231/J231</f>
        <v>0.04</v>
      </c>
      <c r="P231" s="124"/>
    </row>
    <row r="232" spans="1:16" s="169" customFormat="1" ht="14.25" x14ac:dyDescent="0.2">
      <c r="A232" s="446"/>
      <c r="B232" s="185"/>
      <c r="C232" s="186"/>
      <c r="D232" s="186"/>
      <c r="E232" s="449"/>
      <c r="F232" s="215" t="s">
        <v>639</v>
      </c>
      <c r="G232" s="188">
        <v>1</v>
      </c>
      <c r="H232" s="186">
        <v>2023</v>
      </c>
      <c r="I232" s="186">
        <v>300</v>
      </c>
      <c r="J232" s="186">
        <f t="shared" ref="J232:J238" si="176">I232/12</f>
        <v>25</v>
      </c>
      <c r="K232" s="189">
        <f t="shared" si="158"/>
        <v>25</v>
      </c>
      <c r="L232" s="189">
        <f t="shared" si="159"/>
        <v>2</v>
      </c>
      <c r="M232" s="190">
        <f t="shared" ref="M232:M238" si="177">L232/J232</f>
        <v>0.08</v>
      </c>
      <c r="P232" s="124"/>
    </row>
    <row r="233" spans="1:16" s="169" customFormat="1" ht="14.25" x14ac:dyDescent="0.2">
      <c r="A233" s="446"/>
      <c r="B233" s="185"/>
      <c r="C233" s="186"/>
      <c r="D233" s="186"/>
      <c r="E233" s="449"/>
      <c r="F233" s="187" t="s">
        <v>586</v>
      </c>
      <c r="G233" s="188">
        <v>7</v>
      </c>
      <c r="H233" s="186">
        <v>2019</v>
      </c>
      <c r="I233" s="186">
        <v>300</v>
      </c>
      <c r="J233" s="186">
        <f t="shared" si="176"/>
        <v>25</v>
      </c>
      <c r="K233" s="189">
        <f t="shared" si="158"/>
        <v>25</v>
      </c>
      <c r="L233" s="189">
        <f t="shared" si="159"/>
        <v>6</v>
      </c>
      <c r="M233" s="190">
        <f t="shared" si="177"/>
        <v>0.24</v>
      </c>
      <c r="P233" s="124"/>
    </row>
    <row r="234" spans="1:16" s="169" customFormat="1" ht="14.25" x14ac:dyDescent="0.2">
      <c r="A234" s="446"/>
      <c r="B234" s="185"/>
      <c r="C234" s="186"/>
      <c r="D234" s="186"/>
      <c r="E234" s="449"/>
      <c r="F234" s="187" t="s">
        <v>693</v>
      </c>
      <c r="G234" s="188">
        <v>1</v>
      </c>
      <c r="H234" s="186">
        <v>2024</v>
      </c>
      <c r="I234" s="186">
        <v>300</v>
      </c>
      <c r="J234" s="186">
        <f>I234/12</f>
        <v>25</v>
      </c>
      <c r="K234" s="189">
        <f>I234/12</f>
        <v>25</v>
      </c>
      <c r="L234" s="189">
        <f t="shared" si="159"/>
        <v>1</v>
      </c>
      <c r="M234" s="190">
        <f t="shared" si="177"/>
        <v>0.04</v>
      </c>
      <c r="P234" s="124"/>
    </row>
    <row r="235" spans="1:16" s="169" customFormat="1" ht="14.25" x14ac:dyDescent="0.2">
      <c r="A235" s="446"/>
      <c r="B235" s="185"/>
      <c r="C235" s="186"/>
      <c r="D235" s="186"/>
      <c r="E235" s="449"/>
      <c r="F235" s="215" t="s">
        <v>588</v>
      </c>
      <c r="G235" s="188">
        <v>1</v>
      </c>
      <c r="H235" s="186">
        <v>2023</v>
      </c>
      <c r="I235" s="186">
        <v>300</v>
      </c>
      <c r="J235" s="186">
        <f t="shared" si="176"/>
        <v>25</v>
      </c>
      <c r="K235" s="189">
        <f t="shared" si="158"/>
        <v>25</v>
      </c>
      <c r="L235" s="189">
        <f t="shared" si="159"/>
        <v>2</v>
      </c>
      <c r="M235" s="190">
        <f t="shared" si="177"/>
        <v>0.08</v>
      </c>
      <c r="P235" s="124"/>
    </row>
    <row r="236" spans="1:16" s="169" customFormat="1" ht="14.25" x14ac:dyDescent="0.2">
      <c r="A236" s="446"/>
      <c r="B236" s="185"/>
      <c r="C236" s="186"/>
      <c r="D236" s="186"/>
      <c r="E236" s="449"/>
      <c r="F236" s="215" t="s">
        <v>593</v>
      </c>
      <c r="G236" s="188">
        <v>1</v>
      </c>
      <c r="H236" s="186">
        <v>2023</v>
      </c>
      <c r="I236" s="186">
        <v>300</v>
      </c>
      <c r="J236" s="186">
        <f t="shared" si="176"/>
        <v>25</v>
      </c>
      <c r="K236" s="189">
        <f t="shared" si="158"/>
        <v>25</v>
      </c>
      <c r="L236" s="189">
        <f t="shared" si="159"/>
        <v>2</v>
      </c>
      <c r="M236" s="190">
        <f t="shared" si="177"/>
        <v>0.08</v>
      </c>
      <c r="P236" s="124"/>
    </row>
    <row r="237" spans="1:16" s="169" customFormat="1" ht="14.25" x14ac:dyDescent="0.2">
      <c r="A237" s="446"/>
      <c r="B237" s="185"/>
      <c r="C237" s="186"/>
      <c r="D237" s="186"/>
      <c r="E237" s="449"/>
      <c r="F237" s="215" t="s">
        <v>556</v>
      </c>
      <c r="G237" s="188">
        <v>8</v>
      </c>
      <c r="H237" s="186">
        <v>2023</v>
      </c>
      <c r="I237" s="186">
        <v>300</v>
      </c>
      <c r="J237" s="186">
        <f t="shared" si="176"/>
        <v>25</v>
      </c>
      <c r="K237" s="189">
        <f t="shared" si="158"/>
        <v>25</v>
      </c>
      <c r="L237" s="189">
        <f t="shared" si="159"/>
        <v>2</v>
      </c>
      <c r="M237" s="190">
        <f t="shared" si="177"/>
        <v>0.08</v>
      </c>
      <c r="P237" s="124"/>
    </row>
    <row r="238" spans="1:16" s="169" customFormat="1" ht="14.25" x14ac:dyDescent="0.2">
      <c r="A238" s="446"/>
      <c r="B238" s="185"/>
      <c r="C238" s="186"/>
      <c r="D238" s="186"/>
      <c r="E238" s="449"/>
      <c r="F238" s="187" t="s">
        <v>601</v>
      </c>
      <c r="G238" s="188">
        <v>1</v>
      </c>
      <c r="H238" s="186">
        <v>2019</v>
      </c>
      <c r="I238" s="186">
        <v>300</v>
      </c>
      <c r="J238" s="186">
        <f t="shared" si="176"/>
        <v>25</v>
      </c>
      <c r="K238" s="189">
        <f t="shared" si="158"/>
        <v>25</v>
      </c>
      <c r="L238" s="189">
        <f t="shared" si="159"/>
        <v>6</v>
      </c>
      <c r="M238" s="190">
        <f t="shared" si="177"/>
        <v>0.24</v>
      </c>
      <c r="P238" s="124"/>
    </row>
    <row r="239" spans="1:16" s="169" customFormat="1" ht="14.25" x14ac:dyDescent="0.2">
      <c r="A239" s="436"/>
      <c r="B239" s="185"/>
      <c r="C239" s="186"/>
      <c r="D239" s="186"/>
      <c r="E239" s="449"/>
      <c r="F239" s="187" t="s">
        <v>602</v>
      </c>
      <c r="G239" s="188">
        <v>2</v>
      </c>
      <c r="H239" s="186">
        <v>2019</v>
      </c>
      <c r="I239" s="186">
        <v>300</v>
      </c>
      <c r="J239" s="186">
        <f t="shared" ref="J239:J274" si="178">I239/12</f>
        <v>25</v>
      </c>
      <c r="K239" s="189">
        <f t="shared" ref="K239:K274" si="179">I239/12</f>
        <v>25</v>
      </c>
      <c r="L239" s="189">
        <f t="shared" ref="L239:L274" si="180">N$3-H239</f>
        <v>6</v>
      </c>
      <c r="M239" s="190">
        <f>L239/J239</f>
        <v>0.24</v>
      </c>
      <c r="P239" s="124"/>
    </row>
    <row r="240" spans="1:16" s="169" customFormat="1" ht="14.25" x14ac:dyDescent="0.2">
      <c r="A240" s="436"/>
      <c r="B240" s="185"/>
      <c r="C240" s="186"/>
      <c r="D240" s="186"/>
      <c r="E240" s="449"/>
      <c r="F240" s="187" t="s">
        <v>637</v>
      </c>
      <c r="G240" s="186">
        <v>10</v>
      </c>
      <c r="H240" s="186">
        <v>1982</v>
      </c>
      <c r="I240" s="186">
        <v>300</v>
      </c>
      <c r="J240" s="186">
        <f t="shared" si="178"/>
        <v>25</v>
      </c>
      <c r="K240" s="189">
        <f t="shared" si="179"/>
        <v>25</v>
      </c>
      <c r="L240" s="189">
        <f t="shared" si="180"/>
        <v>43</v>
      </c>
      <c r="M240" s="190">
        <f>L240/J240</f>
        <v>1.72</v>
      </c>
      <c r="P240" s="124"/>
    </row>
    <row r="241" spans="1:16" s="169" customFormat="1" thickBot="1" x14ac:dyDescent="0.25">
      <c r="A241" s="437"/>
      <c r="B241" s="191"/>
      <c r="C241" s="192"/>
      <c r="D241" s="192"/>
      <c r="E241" s="450"/>
      <c r="F241" s="193" t="s">
        <v>640</v>
      </c>
      <c r="G241" s="192">
        <v>6</v>
      </c>
      <c r="H241" s="192">
        <v>1982</v>
      </c>
      <c r="I241" s="192">
        <v>300</v>
      </c>
      <c r="J241" s="192">
        <f t="shared" si="178"/>
        <v>25</v>
      </c>
      <c r="K241" s="194">
        <f t="shared" si="179"/>
        <v>25</v>
      </c>
      <c r="L241" s="194">
        <f t="shared" si="180"/>
        <v>43</v>
      </c>
      <c r="M241" s="195">
        <f>L241/J241</f>
        <v>1.72</v>
      </c>
      <c r="P241" s="124"/>
    </row>
    <row r="242" spans="1:16" s="169" customFormat="1" ht="14.25" x14ac:dyDescent="0.2">
      <c r="A242" s="435" t="s">
        <v>641</v>
      </c>
      <c r="B242" s="196"/>
      <c r="C242" s="197"/>
      <c r="D242" s="197"/>
      <c r="E242" s="452" t="s">
        <v>642</v>
      </c>
      <c r="F242" s="214" t="s">
        <v>560</v>
      </c>
      <c r="G242" s="200">
        <v>1</v>
      </c>
      <c r="H242" s="197">
        <v>2023</v>
      </c>
      <c r="I242" s="197">
        <v>300</v>
      </c>
      <c r="J242" s="197">
        <f t="shared" si="178"/>
        <v>25</v>
      </c>
      <c r="K242" s="212">
        <f t="shared" si="179"/>
        <v>25</v>
      </c>
      <c r="L242" s="212">
        <f t="shared" si="180"/>
        <v>2</v>
      </c>
      <c r="M242" s="213">
        <f t="shared" ref="M242:M274" si="181">L242/J242</f>
        <v>0.08</v>
      </c>
      <c r="P242" s="124"/>
    </row>
    <row r="243" spans="1:16" s="169" customFormat="1" ht="14.25" x14ac:dyDescent="0.2">
      <c r="A243" s="446"/>
      <c r="B243" s="329"/>
      <c r="C243" s="330"/>
      <c r="D243" s="330"/>
      <c r="E243" s="448"/>
      <c r="F243" s="215" t="s">
        <v>560</v>
      </c>
      <c r="G243" s="188">
        <v>1</v>
      </c>
      <c r="H243" s="186">
        <v>2024</v>
      </c>
      <c r="I243" s="186">
        <v>300</v>
      </c>
      <c r="J243" s="186">
        <f>I243/12</f>
        <v>25</v>
      </c>
      <c r="K243" s="189">
        <f t="shared" si="179"/>
        <v>25</v>
      </c>
      <c r="L243" s="189">
        <f t="shared" si="180"/>
        <v>1</v>
      </c>
      <c r="M243" s="190">
        <f>L243/J243</f>
        <v>0.04</v>
      </c>
      <c r="P243" s="124"/>
    </row>
    <row r="244" spans="1:16" s="169" customFormat="1" ht="14.25" x14ac:dyDescent="0.2">
      <c r="A244" s="436"/>
      <c r="B244" s="185"/>
      <c r="C244" s="186"/>
      <c r="D244" s="186"/>
      <c r="E244" s="449"/>
      <c r="F244" s="187" t="s">
        <v>586</v>
      </c>
      <c r="G244" s="188">
        <v>7</v>
      </c>
      <c r="H244" s="186">
        <v>2019</v>
      </c>
      <c r="I244" s="186">
        <v>300</v>
      </c>
      <c r="J244" s="186">
        <f t="shared" si="178"/>
        <v>25</v>
      </c>
      <c r="K244" s="189">
        <f t="shared" si="179"/>
        <v>25</v>
      </c>
      <c r="L244" s="189">
        <f t="shared" si="180"/>
        <v>6</v>
      </c>
      <c r="M244" s="190">
        <f t="shared" si="181"/>
        <v>0.24</v>
      </c>
      <c r="P244" s="124"/>
    </row>
    <row r="245" spans="1:16" s="169" customFormat="1" ht="14.25" x14ac:dyDescent="0.2">
      <c r="A245" s="436"/>
      <c r="B245" s="185"/>
      <c r="C245" s="186"/>
      <c r="D245" s="186"/>
      <c r="E245" s="449"/>
      <c r="F245" s="215" t="s">
        <v>561</v>
      </c>
      <c r="G245" s="188">
        <v>1</v>
      </c>
      <c r="H245" s="186">
        <v>2023</v>
      </c>
      <c r="I245" s="186">
        <v>300</v>
      </c>
      <c r="J245" s="186">
        <f t="shared" si="178"/>
        <v>25</v>
      </c>
      <c r="K245" s="189">
        <f t="shared" si="179"/>
        <v>25</v>
      </c>
      <c r="L245" s="189">
        <f t="shared" si="180"/>
        <v>2</v>
      </c>
      <c r="M245" s="190">
        <f t="shared" si="181"/>
        <v>0.08</v>
      </c>
      <c r="P245" s="124"/>
    </row>
    <row r="246" spans="1:16" s="169" customFormat="1" ht="14.25" x14ac:dyDescent="0.2">
      <c r="A246" s="436"/>
      <c r="B246" s="185"/>
      <c r="C246" s="186"/>
      <c r="D246" s="186"/>
      <c r="E246" s="449"/>
      <c r="F246" s="187" t="s">
        <v>693</v>
      </c>
      <c r="G246" s="188">
        <v>1</v>
      </c>
      <c r="H246" s="186">
        <v>2024</v>
      </c>
      <c r="I246" s="186">
        <v>300</v>
      </c>
      <c r="J246" s="186">
        <f>I246/12</f>
        <v>25</v>
      </c>
      <c r="K246" s="189">
        <f>I246/12</f>
        <v>25</v>
      </c>
      <c r="L246" s="189">
        <f t="shared" si="180"/>
        <v>1</v>
      </c>
      <c r="M246" s="190">
        <f t="shared" si="181"/>
        <v>0.04</v>
      </c>
      <c r="P246" s="124"/>
    </row>
    <row r="247" spans="1:16" s="169" customFormat="1" ht="14.25" x14ac:dyDescent="0.2">
      <c r="A247" s="436"/>
      <c r="B247" s="185"/>
      <c r="C247" s="186"/>
      <c r="D247" s="186"/>
      <c r="E247" s="449"/>
      <c r="F247" s="216" t="s">
        <v>643</v>
      </c>
      <c r="G247" s="188">
        <v>1</v>
      </c>
      <c r="H247" s="186">
        <v>2023</v>
      </c>
      <c r="I247" s="186">
        <v>300</v>
      </c>
      <c r="J247" s="186">
        <f t="shared" si="178"/>
        <v>25</v>
      </c>
      <c r="K247" s="189">
        <f t="shared" si="179"/>
        <v>25</v>
      </c>
      <c r="L247" s="189">
        <f t="shared" si="180"/>
        <v>2</v>
      </c>
      <c r="M247" s="190">
        <f t="shared" si="181"/>
        <v>0.08</v>
      </c>
      <c r="P247" s="124"/>
    </row>
    <row r="248" spans="1:16" s="169" customFormat="1" ht="14.25" x14ac:dyDescent="0.2">
      <c r="A248" s="436"/>
      <c r="B248" s="185"/>
      <c r="C248" s="186"/>
      <c r="D248" s="186"/>
      <c r="E248" s="449"/>
      <c r="F248" s="215" t="s">
        <v>593</v>
      </c>
      <c r="G248" s="188">
        <v>1</v>
      </c>
      <c r="H248" s="186">
        <v>2023</v>
      </c>
      <c r="I248" s="186">
        <v>300</v>
      </c>
      <c r="J248" s="186">
        <f t="shared" si="178"/>
        <v>25</v>
      </c>
      <c r="K248" s="189">
        <f t="shared" si="179"/>
        <v>25</v>
      </c>
      <c r="L248" s="189">
        <f t="shared" si="180"/>
        <v>2</v>
      </c>
      <c r="M248" s="190">
        <f t="shared" si="181"/>
        <v>0.08</v>
      </c>
      <c r="P248" s="124"/>
    </row>
    <row r="249" spans="1:16" s="169" customFormat="1" ht="14.25" x14ac:dyDescent="0.2">
      <c r="A249" s="436"/>
      <c r="B249" s="185"/>
      <c r="C249" s="186"/>
      <c r="D249" s="186"/>
      <c r="E249" s="449"/>
      <c r="F249" s="187" t="s">
        <v>601</v>
      </c>
      <c r="G249" s="188">
        <v>1</v>
      </c>
      <c r="H249" s="186">
        <v>2019</v>
      </c>
      <c r="I249" s="186">
        <v>300</v>
      </c>
      <c r="J249" s="186">
        <f t="shared" si="178"/>
        <v>25</v>
      </c>
      <c r="K249" s="189">
        <f t="shared" si="179"/>
        <v>25</v>
      </c>
      <c r="L249" s="189">
        <f t="shared" si="180"/>
        <v>6</v>
      </c>
      <c r="M249" s="190">
        <f t="shared" si="181"/>
        <v>0.24</v>
      </c>
      <c r="P249" s="124"/>
    </row>
    <row r="250" spans="1:16" s="169" customFormat="1" ht="14.25" x14ac:dyDescent="0.2">
      <c r="A250" s="436"/>
      <c r="B250" s="185"/>
      <c r="C250" s="186"/>
      <c r="D250" s="186"/>
      <c r="E250" s="449"/>
      <c r="F250" s="187" t="s">
        <v>602</v>
      </c>
      <c r="G250" s="188">
        <v>2</v>
      </c>
      <c r="H250" s="186">
        <v>2019</v>
      </c>
      <c r="I250" s="186">
        <v>300</v>
      </c>
      <c r="J250" s="186">
        <f t="shared" si="178"/>
        <v>25</v>
      </c>
      <c r="K250" s="189">
        <f t="shared" si="179"/>
        <v>25</v>
      </c>
      <c r="L250" s="189">
        <f t="shared" si="180"/>
        <v>6</v>
      </c>
      <c r="M250" s="190">
        <f t="shared" si="181"/>
        <v>0.24</v>
      </c>
      <c r="P250" s="124"/>
    </row>
    <row r="251" spans="1:16" s="169" customFormat="1" ht="14.25" x14ac:dyDescent="0.2">
      <c r="A251" s="436"/>
      <c r="B251" s="185"/>
      <c r="C251" s="186"/>
      <c r="D251" s="186"/>
      <c r="E251" s="449"/>
      <c r="F251" s="187" t="s">
        <v>637</v>
      </c>
      <c r="G251" s="186">
        <v>12</v>
      </c>
      <c r="H251" s="186">
        <v>1983</v>
      </c>
      <c r="I251" s="186">
        <v>360</v>
      </c>
      <c r="J251" s="186">
        <f t="shared" si="178"/>
        <v>30</v>
      </c>
      <c r="K251" s="189">
        <f t="shared" si="179"/>
        <v>30</v>
      </c>
      <c r="L251" s="189">
        <f t="shared" si="180"/>
        <v>42</v>
      </c>
      <c r="M251" s="190">
        <f t="shared" si="181"/>
        <v>1.4</v>
      </c>
      <c r="P251" s="124"/>
    </row>
    <row r="252" spans="1:16" s="169" customFormat="1" ht="14.25" x14ac:dyDescent="0.2">
      <c r="A252" s="451"/>
      <c r="B252" s="205"/>
      <c r="C252" s="206"/>
      <c r="D252" s="206"/>
      <c r="E252" s="453"/>
      <c r="F252" s="187" t="s">
        <v>640</v>
      </c>
      <c r="G252" s="186">
        <v>1</v>
      </c>
      <c r="H252" s="186">
        <v>2019</v>
      </c>
      <c r="I252" s="186">
        <v>360</v>
      </c>
      <c r="J252" s="186">
        <f>I252/12</f>
        <v>30</v>
      </c>
      <c r="K252" s="189">
        <f>I252/12</f>
        <v>30</v>
      </c>
      <c r="L252" s="189">
        <f>N$3-H252</f>
        <v>6</v>
      </c>
      <c r="M252" s="190">
        <f>L252/J252</f>
        <v>0.2</v>
      </c>
      <c r="P252" s="124"/>
    </row>
    <row r="253" spans="1:16" s="169" customFormat="1" thickBot="1" x14ac:dyDescent="0.25">
      <c r="A253" s="437"/>
      <c r="B253" s="191"/>
      <c r="C253" s="192"/>
      <c r="D253" s="192"/>
      <c r="E253" s="450"/>
      <c r="F253" s="193" t="s">
        <v>640</v>
      </c>
      <c r="G253" s="192">
        <v>11</v>
      </c>
      <c r="H253" s="192">
        <v>1983</v>
      </c>
      <c r="I253" s="192">
        <v>360</v>
      </c>
      <c r="J253" s="192">
        <f t="shared" si="178"/>
        <v>30</v>
      </c>
      <c r="K253" s="194">
        <f t="shared" si="179"/>
        <v>30</v>
      </c>
      <c r="L253" s="194">
        <f t="shared" si="180"/>
        <v>42</v>
      </c>
      <c r="M253" s="195">
        <f t="shared" si="181"/>
        <v>1.4</v>
      </c>
      <c r="P253" s="124"/>
    </row>
    <row r="254" spans="1:16" s="166" customFormat="1" ht="14.25" x14ac:dyDescent="0.2">
      <c r="A254" s="435" t="s">
        <v>644</v>
      </c>
      <c r="B254" s="196"/>
      <c r="C254" s="197"/>
      <c r="D254" s="197"/>
      <c r="E254" s="452" t="s">
        <v>492</v>
      </c>
      <c r="F254" s="214" t="s">
        <v>560</v>
      </c>
      <c r="G254" s="200">
        <v>1</v>
      </c>
      <c r="H254" s="197">
        <v>2023</v>
      </c>
      <c r="I254" s="197">
        <v>300</v>
      </c>
      <c r="J254" s="197">
        <f t="shared" si="178"/>
        <v>25</v>
      </c>
      <c r="K254" s="212">
        <f t="shared" si="179"/>
        <v>25</v>
      </c>
      <c r="L254" s="212">
        <f t="shared" si="180"/>
        <v>2</v>
      </c>
      <c r="M254" s="213">
        <f t="shared" si="181"/>
        <v>0.08</v>
      </c>
      <c r="N254" s="166" t="s">
        <v>494</v>
      </c>
      <c r="P254" s="124"/>
    </row>
    <row r="255" spans="1:16" s="166" customFormat="1" ht="14.25" x14ac:dyDescent="0.2">
      <c r="A255" s="436"/>
      <c r="B255" s="185"/>
      <c r="C255" s="186"/>
      <c r="D255" s="186"/>
      <c r="E255" s="449"/>
      <c r="F255" s="187" t="s">
        <v>586</v>
      </c>
      <c r="G255" s="188">
        <v>7</v>
      </c>
      <c r="H255" s="186">
        <v>2019</v>
      </c>
      <c r="I255" s="186">
        <v>300</v>
      </c>
      <c r="J255" s="186">
        <f t="shared" si="178"/>
        <v>25</v>
      </c>
      <c r="K255" s="189">
        <f t="shared" si="179"/>
        <v>25</v>
      </c>
      <c r="L255" s="189">
        <f t="shared" si="180"/>
        <v>6</v>
      </c>
      <c r="M255" s="190">
        <f t="shared" si="181"/>
        <v>0.24</v>
      </c>
      <c r="P255" s="124"/>
    </row>
    <row r="256" spans="1:16" s="166" customFormat="1" ht="14.25" x14ac:dyDescent="0.2">
      <c r="A256" s="436"/>
      <c r="B256" s="185"/>
      <c r="C256" s="186"/>
      <c r="D256" s="186"/>
      <c r="E256" s="449"/>
      <c r="F256" s="215" t="s">
        <v>561</v>
      </c>
      <c r="G256" s="188">
        <v>1</v>
      </c>
      <c r="H256" s="186">
        <v>2023</v>
      </c>
      <c r="I256" s="186">
        <v>300</v>
      </c>
      <c r="J256" s="186">
        <f t="shared" si="178"/>
        <v>25</v>
      </c>
      <c r="K256" s="189">
        <f t="shared" si="179"/>
        <v>25</v>
      </c>
      <c r="L256" s="189">
        <f t="shared" si="180"/>
        <v>2</v>
      </c>
      <c r="M256" s="190">
        <f t="shared" si="181"/>
        <v>0.08</v>
      </c>
      <c r="P256" s="124"/>
    </row>
    <row r="257" spans="1:16" s="166" customFormat="1" ht="14.25" x14ac:dyDescent="0.2">
      <c r="A257" s="436"/>
      <c r="B257" s="185"/>
      <c r="C257" s="186"/>
      <c r="D257" s="186"/>
      <c r="E257" s="449"/>
      <c r="F257" s="216" t="s">
        <v>643</v>
      </c>
      <c r="G257" s="188">
        <v>1</v>
      </c>
      <c r="H257" s="186">
        <v>2023</v>
      </c>
      <c r="I257" s="186">
        <v>300</v>
      </c>
      <c r="J257" s="186">
        <f t="shared" si="178"/>
        <v>25</v>
      </c>
      <c r="K257" s="189">
        <f t="shared" si="179"/>
        <v>25</v>
      </c>
      <c r="L257" s="189">
        <f t="shared" si="180"/>
        <v>2</v>
      </c>
      <c r="M257" s="190">
        <f t="shared" si="181"/>
        <v>0.08</v>
      </c>
      <c r="P257" s="124"/>
    </row>
    <row r="258" spans="1:16" s="166" customFormat="1" ht="14.25" x14ac:dyDescent="0.2">
      <c r="A258" s="436"/>
      <c r="B258" s="185"/>
      <c r="C258" s="186"/>
      <c r="D258" s="186"/>
      <c r="E258" s="449"/>
      <c r="F258" s="215" t="s">
        <v>593</v>
      </c>
      <c r="G258" s="188">
        <v>1</v>
      </c>
      <c r="H258" s="186">
        <v>2023</v>
      </c>
      <c r="I258" s="186">
        <v>300</v>
      </c>
      <c r="J258" s="186">
        <f t="shared" si="178"/>
        <v>25</v>
      </c>
      <c r="K258" s="189">
        <f t="shared" si="179"/>
        <v>25</v>
      </c>
      <c r="L258" s="189">
        <f t="shared" si="180"/>
        <v>2</v>
      </c>
      <c r="M258" s="190">
        <f t="shared" si="181"/>
        <v>0.08</v>
      </c>
      <c r="P258" s="124"/>
    </row>
    <row r="259" spans="1:16" s="166" customFormat="1" ht="14.25" x14ac:dyDescent="0.2">
      <c r="A259" s="436"/>
      <c r="B259" s="185"/>
      <c r="C259" s="186"/>
      <c r="D259" s="186"/>
      <c r="E259" s="449"/>
      <c r="F259" s="187" t="s">
        <v>601</v>
      </c>
      <c r="G259" s="188">
        <v>1</v>
      </c>
      <c r="H259" s="186">
        <v>2019</v>
      </c>
      <c r="I259" s="186">
        <v>300</v>
      </c>
      <c r="J259" s="186">
        <f t="shared" si="178"/>
        <v>25</v>
      </c>
      <c r="K259" s="189">
        <f t="shared" si="179"/>
        <v>25</v>
      </c>
      <c r="L259" s="189">
        <f t="shared" si="180"/>
        <v>6</v>
      </c>
      <c r="M259" s="190">
        <f t="shared" si="181"/>
        <v>0.24</v>
      </c>
      <c r="P259" s="124"/>
    </row>
    <row r="260" spans="1:16" s="166" customFormat="1" ht="14.25" x14ac:dyDescent="0.2">
      <c r="A260" s="436"/>
      <c r="B260" s="185"/>
      <c r="C260" s="186"/>
      <c r="D260" s="186"/>
      <c r="E260" s="449"/>
      <c r="F260" s="187" t="s">
        <v>602</v>
      </c>
      <c r="G260" s="188">
        <v>2</v>
      </c>
      <c r="H260" s="186">
        <v>2019</v>
      </c>
      <c r="I260" s="186">
        <v>300</v>
      </c>
      <c r="J260" s="186">
        <f t="shared" si="178"/>
        <v>25</v>
      </c>
      <c r="K260" s="189">
        <f t="shared" si="179"/>
        <v>25</v>
      </c>
      <c r="L260" s="189">
        <f t="shared" si="180"/>
        <v>6</v>
      </c>
      <c r="M260" s="190">
        <f t="shared" si="181"/>
        <v>0.24</v>
      </c>
      <c r="P260" s="124"/>
    </row>
    <row r="261" spans="1:16" s="166" customFormat="1" ht="23.25" customHeight="1" x14ac:dyDescent="0.2">
      <c r="A261" s="436"/>
      <c r="B261" s="185"/>
      <c r="C261" s="186"/>
      <c r="D261" s="186"/>
      <c r="E261" s="449"/>
      <c r="F261" s="187" t="s">
        <v>637</v>
      </c>
      <c r="G261" s="186">
        <v>12</v>
      </c>
      <c r="H261" s="186">
        <v>1984</v>
      </c>
      <c r="I261" s="186">
        <v>360</v>
      </c>
      <c r="J261" s="186">
        <f t="shared" si="178"/>
        <v>30</v>
      </c>
      <c r="K261" s="189">
        <f t="shared" si="179"/>
        <v>30</v>
      </c>
      <c r="L261" s="189">
        <f t="shared" si="180"/>
        <v>41</v>
      </c>
      <c r="M261" s="190">
        <f t="shared" si="181"/>
        <v>1.3666666666666667</v>
      </c>
      <c r="P261" s="124"/>
    </row>
    <row r="262" spans="1:16" s="166" customFormat="1" ht="25.5" customHeight="1" thickBot="1" x14ac:dyDescent="0.25">
      <c r="A262" s="437"/>
      <c r="B262" s="191"/>
      <c r="C262" s="192"/>
      <c r="D262" s="192"/>
      <c r="E262" s="450"/>
      <c r="F262" s="193" t="s">
        <v>640</v>
      </c>
      <c r="G262" s="192">
        <v>12</v>
      </c>
      <c r="H262" s="192">
        <v>1984</v>
      </c>
      <c r="I262" s="192">
        <v>360</v>
      </c>
      <c r="J262" s="192">
        <f t="shared" si="178"/>
        <v>30</v>
      </c>
      <c r="K262" s="194">
        <f t="shared" si="179"/>
        <v>30</v>
      </c>
      <c r="L262" s="194">
        <f t="shared" si="180"/>
        <v>41</v>
      </c>
      <c r="M262" s="195">
        <f t="shared" si="181"/>
        <v>1.3666666666666667</v>
      </c>
      <c r="P262" s="124"/>
    </row>
    <row r="263" spans="1:16" s="166" customFormat="1" ht="14.25" x14ac:dyDescent="0.2">
      <c r="A263" s="435" t="s">
        <v>645</v>
      </c>
      <c r="B263" s="196"/>
      <c r="C263" s="197"/>
      <c r="D263" s="197"/>
      <c r="E263" s="452" t="s">
        <v>504</v>
      </c>
      <c r="F263" s="219" t="s">
        <v>646</v>
      </c>
      <c r="G263" s="200">
        <v>1</v>
      </c>
      <c r="H263" s="197">
        <v>2023</v>
      </c>
      <c r="I263" s="197">
        <v>300</v>
      </c>
      <c r="J263" s="197">
        <f t="shared" si="178"/>
        <v>25</v>
      </c>
      <c r="K263" s="212">
        <f t="shared" si="179"/>
        <v>25</v>
      </c>
      <c r="L263" s="212">
        <f t="shared" si="180"/>
        <v>2</v>
      </c>
      <c r="M263" s="213">
        <f t="shared" si="181"/>
        <v>0.08</v>
      </c>
      <c r="P263" s="124"/>
    </row>
    <row r="264" spans="1:16" s="166" customFormat="1" ht="14.25" x14ac:dyDescent="0.2">
      <c r="A264" s="446"/>
      <c r="B264" s="329"/>
      <c r="C264" s="330"/>
      <c r="D264" s="330"/>
      <c r="E264" s="448"/>
      <c r="F264" s="215" t="s">
        <v>560</v>
      </c>
      <c r="G264" s="188">
        <v>1</v>
      </c>
      <c r="H264" s="186">
        <v>2024</v>
      </c>
      <c r="I264" s="186">
        <v>300</v>
      </c>
      <c r="J264" s="186">
        <f>I264/12</f>
        <v>25</v>
      </c>
      <c r="K264" s="189">
        <f t="shared" ref="K264" si="182">I264/12</f>
        <v>25</v>
      </c>
      <c r="L264" s="189">
        <f t="shared" ref="L264" si="183">N$3-H264</f>
        <v>1</v>
      </c>
      <c r="M264" s="190">
        <f>L264/J264</f>
        <v>0.04</v>
      </c>
      <c r="P264" s="124"/>
    </row>
    <row r="265" spans="1:16" s="166" customFormat="1" ht="14.25" x14ac:dyDescent="0.2">
      <c r="A265" s="436"/>
      <c r="B265" s="185"/>
      <c r="C265" s="186"/>
      <c r="D265" s="186"/>
      <c r="E265" s="449"/>
      <c r="F265" s="187" t="s">
        <v>586</v>
      </c>
      <c r="G265" s="188">
        <v>7</v>
      </c>
      <c r="H265" s="186">
        <v>2019</v>
      </c>
      <c r="I265" s="186">
        <v>300</v>
      </c>
      <c r="J265" s="186">
        <f t="shared" si="178"/>
        <v>25</v>
      </c>
      <c r="K265" s="189">
        <f>I265/12</f>
        <v>25</v>
      </c>
      <c r="L265" s="189">
        <f>N$3-H265</f>
        <v>6</v>
      </c>
      <c r="M265" s="190">
        <f t="shared" si="181"/>
        <v>0.24</v>
      </c>
      <c r="P265" s="124"/>
    </row>
    <row r="266" spans="1:16" s="166" customFormat="1" ht="14.25" x14ac:dyDescent="0.2">
      <c r="A266" s="436"/>
      <c r="B266" s="185"/>
      <c r="C266" s="186"/>
      <c r="D266" s="186"/>
      <c r="E266" s="449"/>
      <c r="F266" s="187" t="s">
        <v>693</v>
      </c>
      <c r="G266" s="188">
        <v>1</v>
      </c>
      <c r="H266" s="186">
        <v>2024</v>
      </c>
      <c r="I266" s="186">
        <v>300</v>
      </c>
      <c r="J266" s="186">
        <f>I266/12</f>
        <v>25</v>
      </c>
      <c r="K266" s="189">
        <f>I266/12</f>
        <v>25</v>
      </c>
      <c r="L266" s="189">
        <f t="shared" ref="L266" si="184">N$3-H266</f>
        <v>1</v>
      </c>
      <c r="M266" s="190">
        <f t="shared" ref="M266" si="185">L266/J266</f>
        <v>0.04</v>
      </c>
      <c r="P266" s="124"/>
    </row>
    <row r="267" spans="1:16" s="166" customFormat="1" ht="14.25" x14ac:dyDescent="0.2">
      <c r="A267" s="436"/>
      <c r="B267" s="185"/>
      <c r="C267" s="186"/>
      <c r="D267" s="186"/>
      <c r="E267" s="449"/>
      <c r="F267" s="220" t="s">
        <v>647</v>
      </c>
      <c r="G267" s="188">
        <v>1</v>
      </c>
      <c r="H267" s="186">
        <v>2023</v>
      </c>
      <c r="I267" s="186">
        <v>300</v>
      </c>
      <c r="J267" s="186">
        <f t="shared" si="178"/>
        <v>25</v>
      </c>
      <c r="K267" s="189">
        <f>I267/12</f>
        <v>25</v>
      </c>
      <c r="L267" s="189">
        <f>N$3-H267</f>
        <v>2</v>
      </c>
      <c r="M267" s="190">
        <f t="shared" si="181"/>
        <v>0.08</v>
      </c>
      <c r="P267" s="124"/>
    </row>
    <row r="268" spans="1:16" s="166" customFormat="1" ht="14.25" x14ac:dyDescent="0.2">
      <c r="A268" s="436"/>
      <c r="B268" s="185"/>
      <c r="C268" s="186"/>
      <c r="D268" s="186"/>
      <c r="E268" s="449"/>
      <c r="F268" s="220" t="s">
        <v>607</v>
      </c>
      <c r="G268" s="188">
        <v>1</v>
      </c>
      <c r="H268" s="186">
        <v>2023</v>
      </c>
      <c r="I268" s="186">
        <v>300</v>
      </c>
      <c r="J268" s="186">
        <f t="shared" si="178"/>
        <v>25</v>
      </c>
      <c r="K268" s="189">
        <f t="shared" si="179"/>
        <v>25</v>
      </c>
      <c r="L268" s="189">
        <f t="shared" si="180"/>
        <v>2</v>
      </c>
      <c r="M268" s="190">
        <f t="shared" si="181"/>
        <v>0.08</v>
      </c>
      <c r="P268" s="124"/>
    </row>
    <row r="269" spans="1:16" s="166" customFormat="1" ht="14.25" x14ac:dyDescent="0.2">
      <c r="A269" s="436"/>
      <c r="B269" s="185"/>
      <c r="C269" s="186"/>
      <c r="D269" s="186"/>
      <c r="E269" s="449"/>
      <c r="F269" s="216" t="s">
        <v>556</v>
      </c>
      <c r="G269" s="188">
        <v>7</v>
      </c>
      <c r="H269" s="186">
        <v>2023</v>
      </c>
      <c r="I269" s="186">
        <v>300</v>
      </c>
      <c r="J269" s="186">
        <f t="shared" si="178"/>
        <v>25</v>
      </c>
      <c r="K269" s="189">
        <f>I269/12</f>
        <v>25</v>
      </c>
      <c r="L269" s="189">
        <f>N$3-H269</f>
        <v>2</v>
      </c>
      <c r="M269" s="190">
        <f t="shared" si="181"/>
        <v>0.08</v>
      </c>
      <c r="P269" s="124"/>
    </row>
    <row r="270" spans="1:16" s="166" customFormat="1" ht="14.25" x14ac:dyDescent="0.2">
      <c r="A270" s="436"/>
      <c r="B270" s="185"/>
      <c r="C270" s="186"/>
      <c r="D270" s="186"/>
      <c r="E270" s="449"/>
      <c r="F270" s="216" t="s">
        <v>556</v>
      </c>
      <c r="G270" s="188">
        <v>3</v>
      </c>
      <c r="H270" s="186">
        <v>2024</v>
      </c>
      <c r="I270" s="186">
        <v>300</v>
      </c>
      <c r="J270" s="186">
        <f t="shared" ref="J270" si="186">I270/12</f>
        <v>25</v>
      </c>
      <c r="K270" s="189">
        <f>I270/12</f>
        <v>25</v>
      </c>
      <c r="L270" s="189">
        <f>N$3-H270</f>
        <v>1</v>
      </c>
      <c r="M270" s="190">
        <f t="shared" ref="M270" si="187">L270/J270</f>
        <v>0.04</v>
      </c>
      <c r="P270" s="124"/>
    </row>
    <row r="271" spans="1:16" s="166" customFormat="1" ht="30.75" customHeight="1" x14ac:dyDescent="0.2">
      <c r="A271" s="436"/>
      <c r="B271" s="185"/>
      <c r="C271" s="186"/>
      <c r="D271" s="186"/>
      <c r="E271" s="449"/>
      <c r="F271" s="187" t="s">
        <v>648</v>
      </c>
      <c r="G271" s="188">
        <v>1</v>
      </c>
      <c r="H271" s="186">
        <v>1986</v>
      </c>
      <c r="I271" s="186">
        <v>300</v>
      </c>
      <c r="J271" s="186">
        <f t="shared" si="178"/>
        <v>25</v>
      </c>
      <c r="K271" s="189">
        <f>I271/12</f>
        <v>25</v>
      </c>
      <c r="L271" s="189">
        <f>N$3-H271</f>
        <v>39</v>
      </c>
      <c r="M271" s="190">
        <f t="shared" si="181"/>
        <v>1.56</v>
      </c>
      <c r="P271" s="124"/>
    </row>
    <row r="272" spans="1:16" s="166" customFormat="1" ht="28.5" customHeight="1" x14ac:dyDescent="0.2">
      <c r="A272" s="436"/>
      <c r="B272" s="185"/>
      <c r="C272" s="186"/>
      <c r="D272" s="186"/>
      <c r="E272" s="449"/>
      <c r="F272" s="187" t="s">
        <v>649</v>
      </c>
      <c r="G272" s="188">
        <v>1</v>
      </c>
      <c r="H272" s="186">
        <v>2013</v>
      </c>
      <c r="I272" s="186">
        <v>360</v>
      </c>
      <c r="J272" s="186">
        <f t="shared" si="178"/>
        <v>30</v>
      </c>
      <c r="K272" s="189">
        <f t="shared" si="179"/>
        <v>30</v>
      </c>
      <c r="L272" s="189">
        <f t="shared" si="180"/>
        <v>12</v>
      </c>
      <c r="M272" s="190">
        <f t="shared" si="181"/>
        <v>0.4</v>
      </c>
      <c r="P272" s="124"/>
    </row>
    <row r="273" spans="1:16" s="166" customFormat="1" ht="28.5" customHeight="1" x14ac:dyDescent="0.2">
      <c r="A273" s="451"/>
      <c r="B273" s="185"/>
      <c r="C273" s="186"/>
      <c r="D273" s="186"/>
      <c r="E273" s="449"/>
      <c r="F273" s="187" t="s">
        <v>725</v>
      </c>
      <c r="G273" s="188">
        <v>1</v>
      </c>
      <c r="H273" s="186">
        <v>2025</v>
      </c>
      <c r="I273" s="186">
        <v>360</v>
      </c>
      <c r="J273" s="186">
        <f t="shared" ref="J273" si="188">I273/12</f>
        <v>30</v>
      </c>
      <c r="K273" s="189">
        <f t="shared" ref="K273" si="189">I273/12</f>
        <v>30</v>
      </c>
      <c r="L273" s="189">
        <f t="shared" ref="L273" si="190">N$3-H273</f>
        <v>0</v>
      </c>
      <c r="M273" s="190">
        <f t="shared" ref="M273" si="191">L273/J273</f>
        <v>0</v>
      </c>
      <c r="P273" s="124"/>
    </row>
    <row r="274" spans="1:16" s="166" customFormat="1" ht="28.5" customHeight="1" x14ac:dyDescent="0.2">
      <c r="A274" s="451"/>
      <c r="B274" s="185"/>
      <c r="C274" s="186"/>
      <c r="D274" s="186"/>
      <c r="E274" s="449"/>
      <c r="F274" s="187" t="s">
        <v>637</v>
      </c>
      <c r="G274" s="186">
        <v>9</v>
      </c>
      <c r="H274" s="186">
        <v>1986</v>
      </c>
      <c r="I274" s="186">
        <v>300</v>
      </c>
      <c r="J274" s="186">
        <f t="shared" si="178"/>
        <v>25</v>
      </c>
      <c r="K274" s="189">
        <f t="shared" si="179"/>
        <v>25</v>
      </c>
      <c r="L274" s="189">
        <f t="shared" si="180"/>
        <v>39</v>
      </c>
      <c r="M274" s="190">
        <f t="shared" si="181"/>
        <v>1.56</v>
      </c>
      <c r="P274" s="124"/>
    </row>
    <row r="275" spans="1:16" s="166" customFormat="1" ht="28.5" customHeight="1" thickBot="1" x14ac:dyDescent="0.25">
      <c r="A275" s="437"/>
      <c r="B275" s="191"/>
      <c r="C275" s="192"/>
      <c r="D275" s="192"/>
      <c r="E275" s="450"/>
      <c r="F275" s="193" t="s">
        <v>640</v>
      </c>
      <c r="G275" s="192">
        <v>5</v>
      </c>
      <c r="H275" s="192">
        <v>1986</v>
      </c>
      <c r="I275" s="192">
        <v>300</v>
      </c>
      <c r="J275" s="192">
        <f t="shared" ref="J275" si="192">I275/12</f>
        <v>25</v>
      </c>
      <c r="K275" s="194">
        <f t="shared" ref="K275:K276" si="193">I275/12</f>
        <v>25</v>
      </c>
      <c r="L275" s="194">
        <f t="shared" ref="L275:L276" si="194">N$3-H275</f>
        <v>39</v>
      </c>
      <c r="M275" s="195">
        <f t="shared" ref="M275" si="195">L275/J275</f>
        <v>1.56</v>
      </c>
      <c r="P275" s="124"/>
    </row>
    <row r="276" spans="1:16" s="171" customFormat="1" ht="33.75" customHeight="1" x14ac:dyDescent="0.2">
      <c r="A276" s="446" t="s">
        <v>650</v>
      </c>
      <c r="B276" s="329"/>
      <c r="C276" s="330"/>
      <c r="D276" s="330"/>
      <c r="E276" s="448" t="s">
        <v>512</v>
      </c>
      <c r="F276" s="214" t="s">
        <v>560</v>
      </c>
      <c r="G276" s="200">
        <v>1</v>
      </c>
      <c r="H276" s="197">
        <v>2024</v>
      </c>
      <c r="I276" s="197">
        <v>300</v>
      </c>
      <c r="J276" s="197">
        <f>I276/12</f>
        <v>25</v>
      </c>
      <c r="K276" s="212">
        <f t="shared" si="193"/>
        <v>25</v>
      </c>
      <c r="L276" s="212">
        <f t="shared" si="194"/>
        <v>1</v>
      </c>
      <c r="M276" s="213">
        <f>L276/J276</f>
        <v>0.04</v>
      </c>
      <c r="P276" s="124"/>
    </row>
    <row r="277" spans="1:16" s="171" customFormat="1" ht="33.75" customHeight="1" x14ac:dyDescent="0.2">
      <c r="A277" s="447"/>
      <c r="B277" s="329"/>
      <c r="C277" s="330"/>
      <c r="D277" s="330"/>
      <c r="E277" s="448"/>
      <c r="F277" s="187" t="s">
        <v>651</v>
      </c>
      <c r="G277" s="337">
        <v>1</v>
      </c>
      <c r="H277" s="186">
        <v>2020</v>
      </c>
      <c r="I277" s="186">
        <v>300</v>
      </c>
      <c r="J277" s="186">
        <f>I277/12</f>
        <v>25</v>
      </c>
      <c r="K277" s="189">
        <f>I277/12</f>
        <v>25</v>
      </c>
      <c r="L277" s="189">
        <f>N$3-H277</f>
        <v>5</v>
      </c>
      <c r="M277" s="190">
        <f>L277/J277</f>
        <v>0.2</v>
      </c>
      <c r="P277" s="124"/>
    </row>
    <row r="278" spans="1:16" s="171" customFormat="1" ht="18.75" customHeight="1" x14ac:dyDescent="0.2">
      <c r="A278" s="447"/>
      <c r="B278" s="185"/>
      <c r="C278" s="186"/>
      <c r="D278" s="186"/>
      <c r="E278" s="449"/>
      <c r="F278" s="187" t="s">
        <v>652</v>
      </c>
      <c r="G278" s="337">
        <v>1</v>
      </c>
      <c r="H278" s="186">
        <v>2020</v>
      </c>
      <c r="I278" s="186">
        <v>300</v>
      </c>
      <c r="J278" s="186">
        <f>I278/12</f>
        <v>25</v>
      </c>
      <c r="K278" s="189">
        <f>I278/12</f>
        <v>25</v>
      </c>
      <c r="L278" s="189">
        <f>N$3-H278</f>
        <v>5</v>
      </c>
      <c r="M278" s="190">
        <f>L278/J278</f>
        <v>0.2</v>
      </c>
      <c r="P278" s="124"/>
    </row>
    <row r="279" spans="1:16" s="171" customFormat="1" ht="27.75" customHeight="1" x14ac:dyDescent="0.2">
      <c r="A279" s="447"/>
      <c r="B279" s="185"/>
      <c r="C279" s="186"/>
      <c r="D279" s="186"/>
      <c r="E279" s="449"/>
      <c r="F279" s="187" t="s">
        <v>653</v>
      </c>
      <c r="G279" s="337">
        <v>2</v>
      </c>
      <c r="H279" s="186">
        <v>1995</v>
      </c>
      <c r="I279" s="186">
        <v>300</v>
      </c>
      <c r="J279" s="186">
        <f t="shared" ref="J279:J294" si="196">I279/12</f>
        <v>25</v>
      </c>
      <c r="K279" s="189">
        <f t="shared" ref="K279:K294" si="197">I279/12</f>
        <v>25</v>
      </c>
      <c r="L279" s="189">
        <f t="shared" ref="L279:L294" si="198">N$3-H279</f>
        <v>30</v>
      </c>
      <c r="M279" s="190">
        <f t="shared" ref="M279:M294" si="199">L279/J279</f>
        <v>1.2</v>
      </c>
      <c r="P279" s="124"/>
    </row>
    <row r="280" spans="1:16" s="171" customFormat="1" ht="27.75" customHeight="1" x14ac:dyDescent="0.2">
      <c r="A280" s="447"/>
      <c r="B280" s="185"/>
      <c r="C280" s="186"/>
      <c r="D280" s="186"/>
      <c r="E280" s="449"/>
      <c r="F280" s="187" t="s">
        <v>653</v>
      </c>
      <c r="G280" s="337">
        <v>1</v>
      </c>
      <c r="H280" s="186">
        <v>2024</v>
      </c>
      <c r="I280" s="186">
        <v>300</v>
      </c>
      <c r="J280" s="186">
        <f t="shared" ref="J280" si="200">I280/12</f>
        <v>25</v>
      </c>
      <c r="K280" s="189">
        <f t="shared" ref="K280" si="201">I280/12</f>
        <v>25</v>
      </c>
      <c r="L280" s="189">
        <f t="shared" ref="L280" si="202">N$3-H280</f>
        <v>1</v>
      </c>
      <c r="M280" s="190">
        <f t="shared" ref="M280" si="203">L280/J280</f>
        <v>0.04</v>
      </c>
      <c r="P280" s="124"/>
    </row>
    <row r="281" spans="1:16" s="171" customFormat="1" ht="24" customHeight="1" x14ac:dyDescent="0.2">
      <c r="A281" s="447"/>
      <c r="B281" s="185"/>
      <c r="C281" s="186"/>
      <c r="D281" s="186"/>
      <c r="E281" s="449"/>
      <c r="F281" s="187" t="s">
        <v>654</v>
      </c>
      <c r="G281" s="337">
        <v>1</v>
      </c>
      <c r="H281" s="186">
        <v>1995</v>
      </c>
      <c r="I281" s="186">
        <v>300</v>
      </c>
      <c r="J281" s="186">
        <f t="shared" si="196"/>
        <v>25</v>
      </c>
      <c r="K281" s="189">
        <f t="shared" si="197"/>
        <v>25</v>
      </c>
      <c r="L281" s="189">
        <f t="shared" si="198"/>
        <v>30</v>
      </c>
      <c r="M281" s="190">
        <f t="shared" si="199"/>
        <v>1.2</v>
      </c>
      <c r="P281" s="124"/>
    </row>
    <row r="282" spans="1:16" s="171" customFormat="1" ht="33.75" customHeight="1" x14ac:dyDescent="0.2">
      <c r="A282" s="447"/>
      <c r="B282" s="185"/>
      <c r="C282" s="186"/>
      <c r="D282" s="186"/>
      <c r="E282" s="449"/>
      <c r="F282" s="187" t="s">
        <v>655</v>
      </c>
      <c r="G282" s="337">
        <v>1</v>
      </c>
      <c r="H282" s="186">
        <v>1995</v>
      </c>
      <c r="I282" s="186">
        <v>300</v>
      </c>
      <c r="J282" s="186">
        <f t="shared" si="196"/>
        <v>25</v>
      </c>
      <c r="K282" s="189">
        <f t="shared" si="197"/>
        <v>25</v>
      </c>
      <c r="L282" s="189">
        <f t="shared" si="198"/>
        <v>30</v>
      </c>
      <c r="M282" s="190">
        <f t="shared" si="199"/>
        <v>1.2</v>
      </c>
      <c r="P282" s="124"/>
    </row>
    <row r="283" spans="1:16" s="171" customFormat="1" ht="21" customHeight="1" x14ac:dyDescent="0.2">
      <c r="A283" s="447"/>
      <c r="B283" s="185"/>
      <c r="C283" s="186"/>
      <c r="D283" s="186"/>
      <c r="E283" s="449"/>
      <c r="F283" s="341" t="s">
        <v>656</v>
      </c>
      <c r="G283" s="337">
        <v>1</v>
      </c>
      <c r="H283" s="186">
        <v>2019</v>
      </c>
      <c r="I283" s="186">
        <v>300</v>
      </c>
      <c r="J283" s="186">
        <f t="shared" si="196"/>
        <v>25</v>
      </c>
      <c r="K283" s="189">
        <f t="shared" si="197"/>
        <v>25</v>
      </c>
      <c r="L283" s="189">
        <f t="shared" si="198"/>
        <v>6</v>
      </c>
      <c r="M283" s="190">
        <f t="shared" si="199"/>
        <v>0.24</v>
      </c>
      <c r="P283" s="124"/>
    </row>
    <row r="284" spans="1:16" s="171" customFormat="1" ht="33.75" customHeight="1" x14ac:dyDescent="0.2">
      <c r="A284" s="447"/>
      <c r="B284" s="185"/>
      <c r="C284" s="186"/>
      <c r="D284" s="186"/>
      <c r="E284" s="449"/>
      <c r="F284" s="187" t="s">
        <v>657</v>
      </c>
      <c r="G284" s="188">
        <v>1</v>
      </c>
      <c r="H284" s="186">
        <v>2019</v>
      </c>
      <c r="I284" s="186">
        <v>300</v>
      </c>
      <c r="J284" s="186">
        <f t="shared" si="196"/>
        <v>25</v>
      </c>
      <c r="K284" s="189">
        <f t="shared" si="197"/>
        <v>25</v>
      </c>
      <c r="L284" s="189">
        <f t="shared" si="198"/>
        <v>6</v>
      </c>
      <c r="M284" s="190">
        <f t="shared" si="199"/>
        <v>0.24</v>
      </c>
      <c r="P284" s="124"/>
    </row>
    <row r="285" spans="1:16" s="171" customFormat="1" ht="21.75" customHeight="1" x14ac:dyDescent="0.2">
      <c r="A285" s="447"/>
      <c r="B285" s="185"/>
      <c r="C285" s="186"/>
      <c r="D285" s="186"/>
      <c r="E285" s="449"/>
      <c r="F285" s="187" t="s">
        <v>658</v>
      </c>
      <c r="G285" s="188">
        <v>1</v>
      </c>
      <c r="H285" s="186">
        <v>2019</v>
      </c>
      <c r="I285" s="186">
        <v>300</v>
      </c>
      <c r="J285" s="186">
        <f t="shared" si="196"/>
        <v>25</v>
      </c>
      <c r="K285" s="189">
        <f t="shared" si="197"/>
        <v>25</v>
      </c>
      <c r="L285" s="189">
        <f t="shared" si="198"/>
        <v>6</v>
      </c>
      <c r="M285" s="190">
        <f t="shared" si="199"/>
        <v>0.24</v>
      </c>
      <c r="P285" s="124"/>
    </row>
    <row r="286" spans="1:16" s="171" customFormat="1" ht="26.25" customHeight="1" x14ac:dyDescent="0.2">
      <c r="A286" s="447"/>
      <c r="B286" s="185"/>
      <c r="C286" s="186"/>
      <c r="D286" s="186"/>
      <c r="E286" s="449"/>
      <c r="F286" s="187" t="s">
        <v>659</v>
      </c>
      <c r="G286" s="188">
        <v>1</v>
      </c>
      <c r="H286" s="186">
        <v>2020</v>
      </c>
      <c r="I286" s="186">
        <v>300</v>
      </c>
      <c r="J286" s="186">
        <f t="shared" si="196"/>
        <v>25</v>
      </c>
      <c r="K286" s="189">
        <f t="shared" si="197"/>
        <v>25</v>
      </c>
      <c r="L286" s="189">
        <f t="shared" si="198"/>
        <v>5</v>
      </c>
      <c r="M286" s="190">
        <f t="shared" si="199"/>
        <v>0.2</v>
      </c>
      <c r="P286" s="124"/>
    </row>
    <row r="287" spans="1:16" s="171" customFormat="1" ht="33.75" customHeight="1" x14ac:dyDescent="0.2">
      <c r="A287" s="447"/>
      <c r="B287" s="185"/>
      <c r="C287" s="186"/>
      <c r="D287" s="186"/>
      <c r="E287" s="449"/>
      <c r="F287" s="187" t="s">
        <v>660</v>
      </c>
      <c r="G287" s="188">
        <v>2</v>
      </c>
      <c r="H287" s="186">
        <v>2020</v>
      </c>
      <c r="I287" s="186">
        <v>300</v>
      </c>
      <c r="J287" s="186">
        <f t="shared" si="196"/>
        <v>25</v>
      </c>
      <c r="K287" s="189">
        <f t="shared" si="197"/>
        <v>25</v>
      </c>
      <c r="L287" s="189">
        <f t="shared" si="198"/>
        <v>5</v>
      </c>
      <c r="M287" s="190">
        <f t="shared" si="199"/>
        <v>0.2</v>
      </c>
      <c r="P287" s="124"/>
    </row>
    <row r="288" spans="1:16" s="171" customFormat="1" ht="33.75" customHeight="1" x14ac:dyDescent="0.2">
      <c r="A288" s="447"/>
      <c r="B288" s="185"/>
      <c r="C288" s="186"/>
      <c r="D288" s="186"/>
      <c r="E288" s="449"/>
      <c r="F288" s="187" t="s">
        <v>661</v>
      </c>
      <c r="G288" s="188">
        <v>1</v>
      </c>
      <c r="H288" s="186">
        <v>1995</v>
      </c>
      <c r="I288" s="186">
        <v>300</v>
      </c>
      <c r="J288" s="186">
        <f t="shared" si="196"/>
        <v>25</v>
      </c>
      <c r="K288" s="189">
        <f t="shared" si="197"/>
        <v>25</v>
      </c>
      <c r="L288" s="189">
        <f t="shared" si="198"/>
        <v>30</v>
      </c>
      <c r="M288" s="190">
        <f t="shared" si="199"/>
        <v>1.2</v>
      </c>
      <c r="P288" s="124"/>
    </row>
    <row r="289" spans="1:16" s="171" customFormat="1" ht="18" customHeight="1" x14ac:dyDescent="0.2">
      <c r="A289" s="447"/>
      <c r="B289" s="185"/>
      <c r="C289" s="186"/>
      <c r="D289" s="186"/>
      <c r="E289" s="449"/>
      <c r="F289" s="187" t="s">
        <v>662</v>
      </c>
      <c r="G289" s="188">
        <v>2</v>
      </c>
      <c r="H289" s="186">
        <v>1995</v>
      </c>
      <c r="I289" s="186">
        <v>300</v>
      </c>
      <c r="J289" s="186">
        <f t="shared" si="196"/>
        <v>25</v>
      </c>
      <c r="K289" s="189">
        <f t="shared" si="197"/>
        <v>25</v>
      </c>
      <c r="L289" s="189">
        <f t="shared" si="198"/>
        <v>30</v>
      </c>
      <c r="M289" s="190">
        <f t="shared" si="199"/>
        <v>1.2</v>
      </c>
      <c r="P289" s="124"/>
    </row>
    <row r="290" spans="1:16" s="171" customFormat="1" ht="33.75" customHeight="1" x14ac:dyDescent="0.2">
      <c r="A290" s="447"/>
      <c r="B290" s="185"/>
      <c r="C290" s="186"/>
      <c r="D290" s="186"/>
      <c r="E290" s="449"/>
      <c r="F290" s="187" t="s">
        <v>663</v>
      </c>
      <c r="G290" s="188">
        <v>3</v>
      </c>
      <c r="H290" s="186">
        <v>1993</v>
      </c>
      <c r="I290" s="186">
        <v>300</v>
      </c>
      <c r="J290" s="186">
        <f t="shared" si="196"/>
        <v>25</v>
      </c>
      <c r="K290" s="189">
        <f t="shared" si="197"/>
        <v>25</v>
      </c>
      <c r="L290" s="189">
        <f t="shared" si="198"/>
        <v>32</v>
      </c>
      <c r="M290" s="190">
        <f t="shared" si="199"/>
        <v>1.28</v>
      </c>
      <c r="P290" s="124"/>
    </row>
    <row r="291" spans="1:16" s="171" customFormat="1" ht="33.75" customHeight="1" x14ac:dyDescent="0.2">
      <c r="A291" s="447"/>
      <c r="B291" s="185"/>
      <c r="C291" s="186"/>
      <c r="D291" s="186"/>
      <c r="E291" s="449"/>
      <c r="F291" s="187" t="s">
        <v>663</v>
      </c>
      <c r="G291" s="188">
        <v>3</v>
      </c>
      <c r="H291" s="186">
        <v>2019</v>
      </c>
      <c r="I291" s="186">
        <v>300</v>
      </c>
      <c r="J291" s="186">
        <f t="shared" si="196"/>
        <v>25</v>
      </c>
      <c r="K291" s="189">
        <f t="shared" si="197"/>
        <v>25</v>
      </c>
      <c r="L291" s="189">
        <f t="shared" si="198"/>
        <v>6</v>
      </c>
      <c r="M291" s="190">
        <f t="shared" si="199"/>
        <v>0.24</v>
      </c>
      <c r="P291" s="124"/>
    </row>
    <row r="292" spans="1:16" s="171" customFormat="1" ht="26.25" customHeight="1" x14ac:dyDescent="0.2">
      <c r="A292" s="447"/>
      <c r="B292" s="185"/>
      <c r="C292" s="186"/>
      <c r="D292" s="186"/>
      <c r="E292" s="449"/>
      <c r="F292" s="187" t="s">
        <v>637</v>
      </c>
      <c r="G292" s="188">
        <v>1</v>
      </c>
      <c r="H292" s="186">
        <v>2019</v>
      </c>
      <c r="I292" s="186">
        <v>300</v>
      </c>
      <c r="J292" s="186">
        <f t="shared" si="196"/>
        <v>25</v>
      </c>
      <c r="K292" s="189">
        <f t="shared" si="197"/>
        <v>25</v>
      </c>
      <c r="L292" s="189">
        <f t="shared" si="198"/>
        <v>6</v>
      </c>
      <c r="M292" s="190">
        <f t="shared" si="199"/>
        <v>0.24</v>
      </c>
      <c r="P292" s="124"/>
    </row>
    <row r="293" spans="1:16" s="171" customFormat="1" ht="26.25" customHeight="1" x14ac:dyDescent="0.2">
      <c r="A293" s="447"/>
      <c r="B293" s="185"/>
      <c r="C293" s="186"/>
      <c r="D293" s="186"/>
      <c r="E293" s="449"/>
      <c r="F293" s="187" t="s">
        <v>637</v>
      </c>
      <c r="G293" s="188">
        <v>8</v>
      </c>
      <c r="H293" s="186">
        <v>1995</v>
      </c>
      <c r="I293" s="186">
        <v>300</v>
      </c>
      <c r="J293" s="186">
        <f t="shared" si="196"/>
        <v>25</v>
      </c>
      <c r="K293" s="189">
        <f t="shared" si="197"/>
        <v>25</v>
      </c>
      <c r="L293" s="189">
        <f t="shared" si="198"/>
        <v>30</v>
      </c>
      <c r="M293" s="190">
        <f t="shared" si="199"/>
        <v>1.2</v>
      </c>
      <c r="P293" s="124"/>
    </row>
    <row r="294" spans="1:16" s="171" customFormat="1" ht="24.75" customHeight="1" x14ac:dyDescent="0.2">
      <c r="A294" s="447"/>
      <c r="B294" s="185"/>
      <c r="C294" s="186"/>
      <c r="D294" s="186"/>
      <c r="E294" s="449"/>
      <c r="F294" s="187" t="s">
        <v>640</v>
      </c>
      <c r="G294" s="188">
        <v>1</v>
      </c>
      <c r="H294" s="186">
        <v>1995</v>
      </c>
      <c r="I294" s="186">
        <v>300</v>
      </c>
      <c r="J294" s="186">
        <f t="shared" si="196"/>
        <v>25</v>
      </c>
      <c r="K294" s="189">
        <f t="shared" si="197"/>
        <v>25</v>
      </c>
      <c r="L294" s="189">
        <f t="shared" si="198"/>
        <v>30</v>
      </c>
      <c r="M294" s="190">
        <f t="shared" si="199"/>
        <v>1.2</v>
      </c>
      <c r="P294" s="124"/>
    </row>
    <row r="295" spans="1:16" s="171" customFormat="1" ht="24" customHeight="1" thickBot="1" x14ac:dyDescent="0.25">
      <c r="A295" s="437"/>
      <c r="B295" s="191"/>
      <c r="C295" s="192"/>
      <c r="D295" s="192"/>
      <c r="E295" s="450"/>
      <c r="F295" s="193" t="s">
        <v>664</v>
      </c>
      <c r="G295" s="211">
        <v>2</v>
      </c>
      <c r="H295" s="192">
        <v>2019</v>
      </c>
      <c r="I295" s="192">
        <v>300</v>
      </c>
      <c r="J295" s="192">
        <f>I295/12</f>
        <v>25</v>
      </c>
      <c r="K295" s="194">
        <f>I295/12</f>
        <v>25</v>
      </c>
      <c r="L295" s="194">
        <f>N$3-H295</f>
        <v>6</v>
      </c>
      <c r="M295" s="195">
        <f>L295/J295</f>
        <v>0.24</v>
      </c>
      <c r="P295" s="124"/>
    </row>
    <row r="296" spans="1:16" s="171" customFormat="1" ht="12.75" x14ac:dyDescent="0.2">
      <c r="A296" s="172"/>
      <c r="B296" s="172"/>
      <c r="C296" s="173"/>
      <c r="M296" s="174"/>
    </row>
    <row r="297" spans="1:16" s="171" customFormat="1" ht="12.75" x14ac:dyDescent="0.2">
      <c r="A297" s="172"/>
      <c r="B297" s="172"/>
      <c r="C297" s="173"/>
    </row>
    <row r="298" spans="1:16" s="171" customFormat="1" ht="12.75" x14ac:dyDescent="0.2">
      <c r="A298" s="172"/>
      <c r="B298" s="172"/>
      <c r="C298" s="173"/>
    </row>
    <row r="299" spans="1:16" s="171" customFormat="1" ht="12.75" x14ac:dyDescent="0.2">
      <c r="A299" s="172"/>
      <c r="B299" s="172"/>
      <c r="C299" s="173"/>
    </row>
    <row r="300" spans="1:16" s="171" customFormat="1" ht="12.75" x14ac:dyDescent="0.2">
      <c r="A300" s="172"/>
      <c r="B300" s="172"/>
      <c r="C300" s="173"/>
    </row>
    <row r="301" spans="1:16" s="171" customFormat="1" ht="12.75" x14ac:dyDescent="0.2">
      <c r="A301" s="172"/>
      <c r="B301" s="172"/>
      <c r="C301" s="173"/>
    </row>
    <row r="302" spans="1:16" s="171" customFormat="1" ht="12.75" x14ac:dyDescent="0.2">
      <c r="A302" s="172"/>
      <c r="B302" s="172"/>
      <c r="C302" s="173"/>
    </row>
    <row r="303" spans="1:16" s="171" customFormat="1" ht="12.75" x14ac:dyDescent="0.2">
      <c r="A303" s="172"/>
      <c r="B303" s="172"/>
      <c r="C303" s="173"/>
    </row>
    <row r="304" spans="1:16" s="171" customFormat="1" ht="12.75" x14ac:dyDescent="0.2">
      <c r="A304" s="172"/>
      <c r="B304" s="172"/>
      <c r="C304" s="173"/>
    </row>
    <row r="305" spans="1:3" s="171" customFormat="1" ht="12.75" x14ac:dyDescent="0.2">
      <c r="A305" s="172"/>
      <c r="B305" s="172"/>
      <c r="C305" s="173"/>
    </row>
    <row r="306" spans="1:3" s="171" customFormat="1" ht="12.75" x14ac:dyDescent="0.2">
      <c r="A306" s="172"/>
      <c r="B306" s="172"/>
      <c r="C306" s="173"/>
    </row>
    <row r="307" spans="1:3" s="171" customFormat="1" ht="12.75" x14ac:dyDescent="0.2">
      <c r="A307" s="172"/>
      <c r="B307" s="172"/>
      <c r="C307" s="173"/>
    </row>
    <row r="308" spans="1:3" s="171" customFormat="1" ht="12.75" x14ac:dyDescent="0.2">
      <c r="A308" s="172"/>
      <c r="B308" s="172"/>
      <c r="C308" s="173"/>
    </row>
    <row r="309" spans="1:3" s="171" customFormat="1" ht="12.75" x14ac:dyDescent="0.2">
      <c r="A309" s="172"/>
      <c r="B309" s="172"/>
      <c r="C309" s="173"/>
    </row>
    <row r="310" spans="1:3" s="171" customFormat="1" ht="12.75" x14ac:dyDescent="0.2">
      <c r="A310" s="172"/>
      <c r="B310" s="172"/>
      <c r="C310" s="173"/>
    </row>
    <row r="311" spans="1:3" s="171" customFormat="1" ht="12.75" x14ac:dyDescent="0.2">
      <c r="A311" s="172"/>
      <c r="B311" s="172"/>
      <c r="C311" s="173"/>
    </row>
    <row r="312" spans="1:3" s="171" customFormat="1" ht="12.75" x14ac:dyDescent="0.2">
      <c r="A312" s="172"/>
      <c r="B312" s="172"/>
      <c r="C312" s="173"/>
    </row>
    <row r="313" spans="1:3" s="171" customFormat="1" ht="12.75" x14ac:dyDescent="0.2">
      <c r="A313" s="172"/>
      <c r="B313" s="172"/>
      <c r="C313" s="173"/>
    </row>
    <row r="314" spans="1:3" s="171" customFormat="1" ht="12.75" x14ac:dyDescent="0.2">
      <c r="A314" s="172"/>
      <c r="B314" s="172"/>
      <c r="C314" s="173"/>
    </row>
    <row r="315" spans="1:3" s="171" customFormat="1" ht="12.75" x14ac:dyDescent="0.2">
      <c r="A315" s="172"/>
      <c r="B315" s="172"/>
      <c r="C315" s="173"/>
    </row>
    <row r="316" spans="1:3" x14ac:dyDescent="0.25">
      <c r="C316" s="176"/>
    </row>
    <row r="317" spans="1:3" x14ac:dyDescent="0.25">
      <c r="C317" s="176"/>
    </row>
    <row r="318" spans="1:3" x14ac:dyDescent="0.25">
      <c r="C318" s="176"/>
    </row>
    <row r="319" spans="1:3" x14ac:dyDescent="0.25">
      <c r="C319" s="176"/>
    </row>
    <row r="320" spans="1:3" x14ac:dyDescent="0.25">
      <c r="C320" s="176"/>
    </row>
    <row r="321" spans="1:3" x14ac:dyDescent="0.25">
      <c r="A321" s="118"/>
      <c r="B321" s="118"/>
      <c r="C321" s="176"/>
    </row>
    <row r="322" spans="1:3" x14ac:dyDescent="0.25">
      <c r="A322" s="118"/>
      <c r="B322" s="118"/>
      <c r="C322" s="176"/>
    </row>
    <row r="323" spans="1:3" x14ac:dyDescent="0.25">
      <c r="A323" s="118"/>
      <c r="B323" s="118"/>
      <c r="C323" s="176"/>
    </row>
  </sheetData>
  <mergeCells count="78">
    <mergeCell ref="E1:I1"/>
    <mergeCell ref="D2:I2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L4:L5"/>
    <mergeCell ref="M4:M5"/>
    <mergeCell ref="A6:A16"/>
    <mergeCell ref="E6:E16"/>
    <mergeCell ref="A17:A24"/>
    <mergeCell ref="E17:E24"/>
    <mergeCell ref="A25:A26"/>
    <mergeCell ref="E25:E26"/>
    <mergeCell ref="A27:A31"/>
    <mergeCell ref="E27:E31"/>
    <mergeCell ref="A32:A34"/>
    <mergeCell ref="E32:E34"/>
    <mergeCell ref="A35:A37"/>
    <mergeCell ref="E35:E37"/>
    <mergeCell ref="A38:A41"/>
    <mergeCell ref="E38:E41"/>
    <mergeCell ref="A42:A45"/>
    <mergeCell ref="E42:E45"/>
    <mergeCell ref="A46:A49"/>
    <mergeCell ref="E46:E49"/>
    <mergeCell ref="A50:A53"/>
    <mergeCell ref="E50:E53"/>
    <mergeCell ref="A54:A56"/>
    <mergeCell ref="E54:E56"/>
    <mergeCell ref="A57:A60"/>
    <mergeCell ref="E57:E60"/>
    <mergeCell ref="A61:A71"/>
    <mergeCell ref="E61:E71"/>
    <mergeCell ref="A72:A85"/>
    <mergeCell ref="E72:E85"/>
    <mergeCell ref="A86:A88"/>
    <mergeCell ref="E86:E88"/>
    <mergeCell ref="A89:A101"/>
    <mergeCell ref="E89:E101"/>
    <mergeCell ref="A102:A112"/>
    <mergeCell ref="E102:E112"/>
    <mergeCell ref="A113:A130"/>
    <mergeCell ref="E113:E130"/>
    <mergeCell ref="A131:A137"/>
    <mergeCell ref="E131:E137"/>
    <mergeCell ref="A138:A148"/>
    <mergeCell ref="E138:E148"/>
    <mergeCell ref="A149:A159"/>
    <mergeCell ref="E149:E159"/>
    <mergeCell ref="A160:A169"/>
    <mergeCell ref="E160:E169"/>
    <mergeCell ref="A170:A183"/>
    <mergeCell ref="E170:E183"/>
    <mergeCell ref="A184:A195"/>
    <mergeCell ref="E184:E195"/>
    <mergeCell ref="A196:A205"/>
    <mergeCell ref="E196:E205"/>
    <mergeCell ref="A206:A216"/>
    <mergeCell ref="E206:E216"/>
    <mergeCell ref="A217:A229"/>
    <mergeCell ref="E217:E229"/>
    <mergeCell ref="A230:A241"/>
    <mergeCell ref="E230:E241"/>
    <mergeCell ref="A276:A295"/>
    <mergeCell ref="E276:E295"/>
    <mergeCell ref="A242:A253"/>
    <mergeCell ref="E242:E253"/>
    <mergeCell ref="A254:A262"/>
    <mergeCell ref="E254:E262"/>
    <mergeCell ref="A263:A275"/>
    <mergeCell ref="E263:E27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E055-895A-40D3-A9DA-F0801EC05BB8}">
  <dimension ref="A2:L46"/>
  <sheetViews>
    <sheetView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C52" sqref="C52"/>
    </sheetView>
  </sheetViews>
  <sheetFormatPr defaultRowHeight="15" x14ac:dyDescent="0.25"/>
  <cols>
    <col min="2" max="2" width="18.5703125" customWidth="1"/>
    <col min="3" max="4" width="23.7109375" customWidth="1"/>
    <col min="5" max="5" width="13" customWidth="1"/>
    <col min="6" max="8" width="18.5703125" customWidth="1"/>
    <col min="9" max="9" width="23.140625" customWidth="1"/>
    <col min="10" max="10" width="21.5703125" customWidth="1"/>
  </cols>
  <sheetData>
    <row r="2" spans="1:12" ht="49.5" customHeight="1" x14ac:dyDescent="0.25">
      <c r="A2" s="480" t="s">
        <v>796</v>
      </c>
      <c r="B2" s="480"/>
      <c r="C2" s="480"/>
      <c r="D2" s="480"/>
      <c r="E2" s="480"/>
      <c r="F2" s="480"/>
      <c r="G2" s="480"/>
      <c r="H2" s="480"/>
      <c r="I2" s="480"/>
      <c r="J2" s="480"/>
    </row>
    <row r="4" spans="1:12" ht="30" customHeight="1" x14ac:dyDescent="0.25">
      <c r="A4" s="481" t="s">
        <v>727</v>
      </c>
      <c r="B4" s="470" t="s">
        <v>728</v>
      </c>
      <c r="C4" s="470" t="s">
        <v>729</v>
      </c>
      <c r="D4" s="470" t="s">
        <v>730</v>
      </c>
      <c r="E4" s="467" t="s">
        <v>731</v>
      </c>
      <c r="F4" s="468"/>
      <c r="G4" s="468"/>
      <c r="H4" s="469"/>
      <c r="I4" s="467" t="s">
        <v>795</v>
      </c>
      <c r="J4" s="469"/>
      <c r="K4" s="477"/>
      <c r="L4" s="387"/>
    </row>
    <row r="5" spans="1:12" ht="51" customHeight="1" x14ac:dyDescent="0.25">
      <c r="A5" s="482"/>
      <c r="B5" s="484"/>
      <c r="C5" s="484"/>
      <c r="D5" s="484"/>
      <c r="E5" s="470" t="s">
        <v>733</v>
      </c>
      <c r="F5" s="470" t="s">
        <v>734</v>
      </c>
      <c r="G5" s="478" t="s">
        <v>735</v>
      </c>
      <c r="H5" s="470" t="s">
        <v>736</v>
      </c>
      <c r="I5" s="470" t="s">
        <v>732</v>
      </c>
      <c r="J5" s="472" t="s">
        <v>726</v>
      </c>
      <c r="K5" s="477"/>
      <c r="L5" s="387"/>
    </row>
    <row r="6" spans="1:12" x14ac:dyDescent="0.25">
      <c r="A6" s="483"/>
      <c r="B6" s="471"/>
      <c r="C6" s="471"/>
      <c r="D6" s="471"/>
      <c r="E6" s="471"/>
      <c r="F6" s="471"/>
      <c r="G6" s="479"/>
      <c r="H6" s="471"/>
      <c r="I6" s="471"/>
      <c r="J6" s="473"/>
      <c r="K6" s="477"/>
      <c r="L6" s="387"/>
    </row>
    <row r="7" spans="1:12" x14ac:dyDescent="0.25">
      <c r="A7" s="316"/>
      <c r="B7" s="316"/>
      <c r="C7" s="316"/>
      <c r="D7" s="316"/>
      <c r="E7" s="316"/>
      <c r="F7" s="316"/>
      <c r="G7" s="316"/>
      <c r="H7" s="316"/>
      <c r="I7" s="316"/>
      <c r="J7" s="316"/>
    </row>
    <row r="8" spans="1:12" ht="40.5" customHeight="1" x14ac:dyDescent="0.25">
      <c r="A8" s="373">
        <v>1</v>
      </c>
      <c r="B8" s="373" t="s">
        <v>738</v>
      </c>
      <c r="C8" s="374" t="s">
        <v>739</v>
      </c>
      <c r="D8" s="374" t="s">
        <v>740</v>
      </c>
      <c r="E8" s="374" t="s">
        <v>794</v>
      </c>
      <c r="F8" s="373">
        <f>2*630</f>
        <v>1260</v>
      </c>
      <c r="G8" s="373">
        <f>F8*0.93</f>
        <v>1171.8</v>
      </c>
      <c r="H8" s="373">
        <v>2</v>
      </c>
      <c r="I8" s="384">
        <v>1244.3800000000001</v>
      </c>
      <c r="J8" s="385">
        <f>I8*0.7</f>
        <v>871.06600000000003</v>
      </c>
      <c r="K8" s="372"/>
      <c r="L8" s="372"/>
    </row>
    <row r="9" spans="1:12" ht="42" customHeight="1" x14ac:dyDescent="0.25">
      <c r="A9" s="389">
        <v>2</v>
      </c>
      <c r="B9" s="389" t="s">
        <v>741</v>
      </c>
      <c r="C9" s="390" t="s">
        <v>742</v>
      </c>
      <c r="D9" s="390" t="s">
        <v>740</v>
      </c>
      <c r="E9" s="389" t="s">
        <v>677</v>
      </c>
      <c r="F9" s="389">
        <f>2*400</f>
        <v>800</v>
      </c>
      <c r="G9" s="389">
        <f>F9*0.93</f>
        <v>744</v>
      </c>
      <c r="H9" s="389">
        <v>2</v>
      </c>
      <c r="I9" s="388">
        <v>731.42399999999998</v>
      </c>
      <c r="J9" s="391">
        <f>I9*0.7</f>
        <v>511.99679999999995</v>
      </c>
      <c r="K9" s="372"/>
      <c r="L9" s="372"/>
    </row>
    <row r="10" spans="1:12" ht="30" x14ac:dyDescent="0.25">
      <c r="A10" s="375">
        <v>3</v>
      </c>
      <c r="B10" s="375" t="s">
        <v>743</v>
      </c>
      <c r="C10" s="376" t="s">
        <v>744</v>
      </c>
      <c r="D10" s="376">
        <v>1990</v>
      </c>
      <c r="E10" s="375" t="s">
        <v>676</v>
      </c>
      <c r="F10" s="375">
        <v>320</v>
      </c>
      <c r="G10" s="375">
        <f>F10*0.93</f>
        <v>297.60000000000002</v>
      </c>
      <c r="H10" s="375">
        <v>1</v>
      </c>
      <c r="I10" s="382">
        <v>384</v>
      </c>
      <c r="J10" s="377">
        <f>I10*0.7</f>
        <v>268.79999999999995</v>
      </c>
      <c r="K10" s="372"/>
      <c r="L10" s="372"/>
    </row>
    <row r="11" spans="1:12" ht="31.5" customHeight="1" x14ac:dyDescent="0.25">
      <c r="A11" s="375">
        <v>4</v>
      </c>
      <c r="B11" s="375" t="s">
        <v>668</v>
      </c>
      <c r="C11" s="376" t="s">
        <v>745</v>
      </c>
      <c r="D11" s="376">
        <v>1996</v>
      </c>
      <c r="E11" s="375" t="s">
        <v>679</v>
      </c>
      <c r="F11" s="375">
        <v>400</v>
      </c>
      <c r="G11" s="375">
        <f>F11*0.93</f>
        <v>372</v>
      </c>
      <c r="H11" s="375">
        <v>1</v>
      </c>
      <c r="I11" s="382">
        <v>385.36</v>
      </c>
      <c r="J11" s="386">
        <f t="shared" ref="J11:J17" si="0">I11*0.7</f>
        <v>269.75200000000001</v>
      </c>
      <c r="K11" s="372"/>
      <c r="L11" s="372"/>
    </row>
    <row r="12" spans="1:12" ht="30" x14ac:dyDescent="0.25">
      <c r="A12" s="375">
        <v>5</v>
      </c>
      <c r="B12" s="375" t="s">
        <v>669</v>
      </c>
      <c r="C12" s="376" t="s">
        <v>746</v>
      </c>
      <c r="D12" s="376">
        <v>1964</v>
      </c>
      <c r="E12" s="375" t="s">
        <v>679</v>
      </c>
      <c r="F12" s="375">
        <v>400</v>
      </c>
      <c r="G12" s="375">
        <f t="shared" ref="G12:G17" si="1">F12*0.93</f>
        <v>372</v>
      </c>
      <c r="H12" s="375">
        <v>1</v>
      </c>
      <c r="I12" s="382">
        <v>740.2</v>
      </c>
      <c r="J12" s="386">
        <f t="shared" si="0"/>
        <v>518.14</v>
      </c>
      <c r="K12" s="372"/>
      <c r="L12" s="372"/>
    </row>
    <row r="13" spans="1:12" ht="30" x14ac:dyDescent="0.25">
      <c r="A13" s="375">
        <v>6</v>
      </c>
      <c r="B13" s="375" t="s">
        <v>670</v>
      </c>
      <c r="C13" s="376" t="s">
        <v>747</v>
      </c>
      <c r="D13" s="376">
        <v>1962</v>
      </c>
      <c r="E13" s="375" t="s">
        <v>679</v>
      </c>
      <c r="F13" s="375">
        <v>400</v>
      </c>
      <c r="G13" s="375">
        <f t="shared" si="1"/>
        <v>372</v>
      </c>
      <c r="H13" s="375">
        <v>1</v>
      </c>
      <c r="I13" s="382">
        <v>261</v>
      </c>
      <c r="J13" s="386">
        <f t="shared" si="0"/>
        <v>182.7</v>
      </c>
      <c r="K13" s="372"/>
      <c r="L13" s="372"/>
    </row>
    <row r="14" spans="1:12" ht="30" x14ac:dyDescent="0.25">
      <c r="A14" s="375">
        <v>7</v>
      </c>
      <c r="B14" s="375" t="s">
        <v>671</v>
      </c>
      <c r="C14" s="376" t="s">
        <v>748</v>
      </c>
      <c r="D14" s="376">
        <v>1971</v>
      </c>
      <c r="E14" s="375" t="s">
        <v>679</v>
      </c>
      <c r="F14" s="375">
        <v>400</v>
      </c>
      <c r="G14" s="375">
        <f t="shared" si="1"/>
        <v>372</v>
      </c>
      <c r="H14" s="375">
        <v>1</v>
      </c>
      <c r="I14" s="382">
        <v>935.52599999999995</v>
      </c>
      <c r="J14" s="386">
        <f t="shared" si="0"/>
        <v>654.86819999999989</v>
      </c>
      <c r="K14" s="372"/>
      <c r="L14" s="372"/>
    </row>
    <row r="15" spans="1:12" ht="30" x14ac:dyDescent="0.25">
      <c r="A15" s="375">
        <v>8</v>
      </c>
      <c r="B15" s="375" t="s">
        <v>672</v>
      </c>
      <c r="C15" s="376" t="s">
        <v>749</v>
      </c>
      <c r="D15" s="376">
        <v>1971</v>
      </c>
      <c r="E15" s="375" t="s">
        <v>679</v>
      </c>
      <c r="F15" s="375">
        <v>400</v>
      </c>
      <c r="G15" s="375">
        <f t="shared" si="1"/>
        <v>372</v>
      </c>
      <c r="H15" s="375">
        <v>1</v>
      </c>
      <c r="I15" s="382">
        <v>665.68</v>
      </c>
      <c r="J15" s="386">
        <f t="shared" si="0"/>
        <v>465.97599999999994</v>
      </c>
      <c r="K15" s="372"/>
      <c r="L15" s="372"/>
    </row>
    <row r="16" spans="1:12" ht="30" x14ac:dyDescent="0.25">
      <c r="A16" s="375">
        <v>9</v>
      </c>
      <c r="B16" s="375" t="s">
        <v>673</v>
      </c>
      <c r="C16" s="376" t="s">
        <v>750</v>
      </c>
      <c r="D16" s="376">
        <v>1971</v>
      </c>
      <c r="E16" s="375" t="s">
        <v>679</v>
      </c>
      <c r="F16" s="375">
        <v>400</v>
      </c>
      <c r="G16" s="375">
        <f t="shared" si="1"/>
        <v>372</v>
      </c>
      <c r="H16" s="375">
        <v>1</v>
      </c>
      <c r="I16" s="382">
        <v>583.67999999999995</v>
      </c>
      <c r="J16" s="386">
        <f t="shared" si="0"/>
        <v>408.57599999999996</v>
      </c>
      <c r="K16" s="372"/>
      <c r="L16" s="372"/>
    </row>
    <row r="17" spans="1:12" ht="30" x14ac:dyDescent="0.25">
      <c r="A17" s="375">
        <v>10</v>
      </c>
      <c r="B17" s="375" t="s">
        <v>674</v>
      </c>
      <c r="C17" s="376" t="s">
        <v>751</v>
      </c>
      <c r="D17" s="376">
        <v>1968</v>
      </c>
      <c r="E17" s="375" t="s">
        <v>679</v>
      </c>
      <c r="F17" s="375">
        <v>400</v>
      </c>
      <c r="G17" s="375">
        <f t="shared" si="1"/>
        <v>372</v>
      </c>
      <c r="H17" s="375">
        <v>1</v>
      </c>
      <c r="I17" s="382">
        <v>701.34</v>
      </c>
      <c r="J17" s="386">
        <f t="shared" si="0"/>
        <v>490.93799999999999</v>
      </c>
      <c r="K17" s="372"/>
      <c r="L17" s="372"/>
    </row>
    <row r="18" spans="1:12" ht="30" x14ac:dyDescent="0.25">
      <c r="A18" s="389">
        <v>11</v>
      </c>
      <c r="B18" s="389" t="s">
        <v>752</v>
      </c>
      <c r="C18" s="390" t="s">
        <v>753</v>
      </c>
      <c r="D18" s="390">
        <v>1974</v>
      </c>
      <c r="E18" s="389" t="s">
        <v>680</v>
      </c>
      <c r="F18" s="389">
        <f>630*2</f>
        <v>1260</v>
      </c>
      <c r="G18" s="389">
        <f>F18*0.93</f>
        <v>1171.8</v>
      </c>
      <c r="H18" s="389">
        <v>2</v>
      </c>
      <c r="I18" s="388">
        <v>1302.5</v>
      </c>
      <c r="J18" s="391">
        <f>I18*0.7</f>
        <v>911.74999999999989</v>
      </c>
      <c r="K18" s="372"/>
      <c r="L18" s="372"/>
    </row>
    <row r="19" spans="1:12" ht="30" x14ac:dyDescent="0.25">
      <c r="A19" s="389">
        <v>12</v>
      </c>
      <c r="B19" s="389" t="s">
        <v>754</v>
      </c>
      <c r="C19" s="390" t="s">
        <v>755</v>
      </c>
      <c r="D19" s="390">
        <v>1977</v>
      </c>
      <c r="E19" s="389" t="s">
        <v>680</v>
      </c>
      <c r="F19" s="389">
        <f>630*2</f>
        <v>1260</v>
      </c>
      <c r="G19" s="389">
        <f>F19*0.93</f>
        <v>1171.8</v>
      </c>
      <c r="H19" s="389">
        <v>2</v>
      </c>
      <c r="I19" s="388">
        <v>1284.9349999999999</v>
      </c>
      <c r="J19" s="391">
        <f>I19*0.7</f>
        <v>899.45449999999994</v>
      </c>
      <c r="K19" s="372"/>
      <c r="L19" s="372"/>
    </row>
    <row r="20" spans="1:12" ht="30" x14ac:dyDescent="0.25">
      <c r="A20" s="389">
        <v>13</v>
      </c>
      <c r="B20" s="389" t="s">
        <v>756</v>
      </c>
      <c r="C20" s="390" t="s">
        <v>757</v>
      </c>
      <c r="D20" s="390">
        <v>1962</v>
      </c>
      <c r="E20" s="389" t="s">
        <v>680</v>
      </c>
      <c r="F20" s="389">
        <f>630*2</f>
        <v>1260</v>
      </c>
      <c r="G20" s="389">
        <f>F20*0.93</f>
        <v>1171.8</v>
      </c>
      <c r="H20" s="389">
        <v>2</v>
      </c>
      <c r="I20" s="388">
        <v>1411.9</v>
      </c>
      <c r="J20" s="391">
        <f>I20*0.7</f>
        <v>988.33</v>
      </c>
      <c r="K20" s="372"/>
      <c r="L20" s="372"/>
    </row>
    <row r="21" spans="1:12" ht="30" customHeight="1" x14ac:dyDescent="0.25">
      <c r="A21" s="475">
        <v>14</v>
      </c>
      <c r="B21" s="475" t="s">
        <v>758</v>
      </c>
      <c r="C21" s="476" t="s">
        <v>759</v>
      </c>
      <c r="D21" s="476" t="s">
        <v>740</v>
      </c>
      <c r="E21" s="389" t="s">
        <v>678</v>
      </c>
      <c r="F21" s="475">
        <f>630*2</f>
        <v>1260</v>
      </c>
      <c r="G21" s="475">
        <f>F21*0.93</f>
        <v>1171.8</v>
      </c>
      <c r="H21" s="475">
        <v>2</v>
      </c>
      <c r="I21" s="474">
        <v>238.04</v>
      </c>
      <c r="J21" s="466">
        <f>I21*0.7</f>
        <v>166.62799999999999</v>
      </c>
      <c r="K21" s="372"/>
      <c r="L21" s="372"/>
    </row>
    <row r="22" spans="1:12" x14ac:dyDescent="0.25">
      <c r="A22" s="475"/>
      <c r="B22" s="475"/>
      <c r="C22" s="476"/>
      <c r="D22" s="476"/>
      <c r="E22" s="389" t="s">
        <v>680</v>
      </c>
      <c r="F22" s="475"/>
      <c r="G22" s="475"/>
      <c r="H22" s="475"/>
      <c r="I22" s="474"/>
      <c r="J22" s="466"/>
      <c r="K22" s="372"/>
      <c r="L22" s="372"/>
    </row>
    <row r="23" spans="1:12" ht="30" customHeight="1" x14ac:dyDescent="0.25">
      <c r="A23" s="475">
        <v>15</v>
      </c>
      <c r="B23" s="475" t="s">
        <v>760</v>
      </c>
      <c r="C23" s="476" t="s">
        <v>761</v>
      </c>
      <c r="D23" s="476" t="s">
        <v>740</v>
      </c>
      <c r="E23" s="389" t="s">
        <v>677</v>
      </c>
      <c r="F23" s="475">
        <f>400+630</f>
        <v>1030</v>
      </c>
      <c r="G23" s="475">
        <f>F23*0.93</f>
        <v>957.90000000000009</v>
      </c>
      <c r="H23" s="475">
        <v>2</v>
      </c>
      <c r="I23" s="474">
        <v>591.05999999999995</v>
      </c>
      <c r="J23" s="466">
        <f>I23*0.7</f>
        <v>413.74199999999996</v>
      </c>
      <c r="K23" s="372"/>
      <c r="L23" s="372"/>
    </row>
    <row r="24" spans="1:12" x14ac:dyDescent="0.25">
      <c r="A24" s="475"/>
      <c r="B24" s="475"/>
      <c r="C24" s="476"/>
      <c r="D24" s="476"/>
      <c r="E24" s="389" t="s">
        <v>681</v>
      </c>
      <c r="F24" s="475"/>
      <c r="G24" s="475"/>
      <c r="H24" s="475"/>
      <c r="I24" s="474"/>
      <c r="J24" s="466"/>
      <c r="K24" s="372"/>
      <c r="L24" s="372"/>
    </row>
    <row r="25" spans="1:12" ht="30" x14ac:dyDescent="0.25">
      <c r="A25" s="389">
        <v>16</v>
      </c>
      <c r="B25" s="389" t="s">
        <v>762</v>
      </c>
      <c r="C25" s="390" t="s">
        <v>763</v>
      </c>
      <c r="D25" s="390">
        <v>1993</v>
      </c>
      <c r="E25" s="389" t="s">
        <v>680</v>
      </c>
      <c r="F25" s="389">
        <f>630*2</f>
        <v>1260</v>
      </c>
      <c r="G25" s="389">
        <f>F25*0.93</f>
        <v>1171.8</v>
      </c>
      <c r="H25" s="389">
        <v>2</v>
      </c>
      <c r="I25" s="388">
        <v>1255.78</v>
      </c>
      <c r="J25" s="392">
        <f>I25*0.7</f>
        <v>879.04599999999994</v>
      </c>
      <c r="K25" s="372"/>
      <c r="L25" s="372"/>
    </row>
    <row r="26" spans="1:12" ht="30" x14ac:dyDescent="0.25">
      <c r="A26" s="389">
        <v>17</v>
      </c>
      <c r="B26" s="389" t="s">
        <v>764</v>
      </c>
      <c r="C26" s="390" t="s">
        <v>765</v>
      </c>
      <c r="D26" s="390">
        <v>1987</v>
      </c>
      <c r="E26" s="389">
        <v>1000</v>
      </c>
      <c r="F26" s="389">
        <f>1000*2</f>
        <v>2000</v>
      </c>
      <c r="G26" s="389">
        <f>F26*0.93</f>
        <v>1860</v>
      </c>
      <c r="H26" s="389">
        <v>2</v>
      </c>
      <c r="I26" s="388">
        <v>1397.4</v>
      </c>
      <c r="J26" s="392">
        <f>I26*0.7</f>
        <v>978.18</v>
      </c>
      <c r="K26" s="372"/>
      <c r="L26" s="372"/>
    </row>
    <row r="27" spans="1:12" ht="30" x14ac:dyDescent="0.25">
      <c r="A27" s="389">
        <v>18</v>
      </c>
      <c r="B27" s="389" t="s">
        <v>766</v>
      </c>
      <c r="C27" s="390" t="s">
        <v>767</v>
      </c>
      <c r="D27" s="390">
        <v>1979</v>
      </c>
      <c r="E27" s="389" t="s">
        <v>681</v>
      </c>
      <c r="F27" s="389">
        <f>630*2</f>
        <v>1260</v>
      </c>
      <c r="G27" s="389">
        <f t="shared" ref="G27:G37" si="2">F27*0.93</f>
        <v>1171.8</v>
      </c>
      <c r="H27" s="389">
        <v>2</v>
      </c>
      <c r="I27" s="388">
        <v>1102.0999999999999</v>
      </c>
      <c r="J27" s="391">
        <f>I27*0.7</f>
        <v>771.46999999999991</v>
      </c>
      <c r="K27" s="372"/>
      <c r="L27" s="372"/>
    </row>
    <row r="28" spans="1:12" ht="30" x14ac:dyDescent="0.25">
      <c r="A28" s="389">
        <v>19</v>
      </c>
      <c r="B28" s="389" t="s">
        <v>768</v>
      </c>
      <c r="C28" s="390" t="s">
        <v>769</v>
      </c>
      <c r="D28" s="390">
        <v>1993</v>
      </c>
      <c r="E28" s="389" t="s">
        <v>680</v>
      </c>
      <c r="F28" s="389">
        <f>630*2</f>
        <v>1260</v>
      </c>
      <c r="G28" s="389">
        <f t="shared" si="2"/>
        <v>1171.8</v>
      </c>
      <c r="H28" s="389">
        <v>2</v>
      </c>
      <c r="I28" s="388">
        <v>1040.72</v>
      </c>
      <c r="J28" s="391">
        <f t="shared" ref="J28:J36" si="3">I28*0.7</f>
        <v>728.50400000000002</v>
      </c>
      <c r="K28" s="372"/>
      <c r="L28" s="372"/>
    </row>
    <row r="29" spans="1:12" ht="30" x14ac:dyDescent="0.25">
      <c r="A29" s="389">
        <v>20</v>
      </c>
      <c r="B29" s="389" t="s">
        <v>770</v>
      </c>
      <c r="C29" s="390" t="s">
        <v>771</v>
      </c>
      <c r="D29" s="390">
        <v>1976</v>
      </c>
      <c r="E29" s="389" t="s">
        <v>680</v>
      </c>
      <c r="F29" s="389">
        <f>630*2</f>
        <v>1260</v>
      </c>
      <c r="G29" s="389">
        <f t="shared" si="2"/>
        <v>1171.8</v>
      </c>
      <c r="H29" s="389">
        <v>2</v>
      </c>
      <c r="I29" s="397">
        <v>1051</v>
      </c>
      <c r="J29" s="391">
        <f t="shared" si="3"/>
        <v>735.69999999999993</v>
      </c>
      <c r="K29" s="372"/>
      <c r="L29" s="372"/>
    </row>
    <row r="30" spans="1:12" ht="30" x14ac:dyDescent="0.25">
      <c r="A30" s="389">
        <v>21</v>
      </c>
      <c r="B30" s="389" t="s">
        <v>772</v>
      </c>
      <c r="C30" s="390" t="s">
        <v>773</v>
      </c>
      <c r="D30" s="390">
        <v>1978</v>
      </c>
      <c r="E30" s="389" t="s">
        <v>681</v>
      </c>
      <c r="F30" s="389">
        <f>630*2</f>
        <v>1260</v>
      </c>
      <c r="G30" s="389">
        <f t="shared" si="2"/>
        <v>1171.8</v>
      </c>
      <c r="H30" s="389">
        <v>2</v>
      </c>
      <c r="I30" s="388">
        <v>1567.3</v>
      </c>
      <c r="J30" s="391">
        <f t="shared" si="3"/>
        <v>1097.1099999999999</v>
      </c>
      <c r="K30" s="372"/>
      <c r="L30" s="372"/>
    </row>
    <row r="31" spans="1:12" ht="30" x14ac:dyDescent="0.25">
      <c r="A31" s="389">
        <v>22</v>
      </c>
      <c r="B31" s="389" t="s">
        <v>774</v>
      </c>
      <c r="C31" s="390" t="s">
        <v>775</v>
      </c>
      <c r="D31" s="390">
        <v>1979</v>
      </c>
      <c r="E31" s="389">
        <v>1000</v>
      </c>
      <c r="F31" s="389">
        <f>1000*2</f>
        <v>2000</v>
      </c>
      <c r="G31" s="389">
        <f t="shared" si="2"/>
        <v>1860</v>
      </c>
      <c r="H31" s="389">
        <v>2</v>
      </c>
      <c r="I31" s="388">
        <v>1308.1220000000001</v>
      </c>
      <c r="J31" s="391">
        <f t="shared" si="3"/>
        <v>915.68539999999996</v>
      </c>
      <c r="K31" s="372"/>
      <c r="L31" s="372"/>
    </row>
    <row r="32" spans="1:12" ht="30" x14ac:dyDescent="0.25">
      <c r="A32" s="389">
        <v>23</v>
      </c>
      <c r="B32" s="389" t="s">
        <v>776</v>
      </c>
      <c r="C32" s="390" t="s">
        <v>777</v>
      </c>
      <c r="D32" s="390">
        <v>1984</v>
      </c>
      <c r="E32" s="389" t="s">
        <v>680</v>
      </c>
      <c r="F32" s="389">
        <f>630*2</f>
        <v>1260</v>
      </c>
      <c r="G32" s="389">
        <f t="shared" si="2"/>
        <v>1171.8</v>
      </c>
      <c r="H32" s="389">
        <v>2</v>
      </c>
      <c r="I32" s="388">
        <v>932.5</v>
      </c>
      <c r="J32" s="391">
        <f t="shared" si="3"/>
        <v>652.75</v>
      </c>
      <c r="K32" s="372"/>
      <c r="L32" s="372"/>
    </row>
    <row r="33" spans="1:12" ht="30" x14ac:dyDescent="0.25">
      <c r="A33" s="389">
        <v>24</v>
      </c>
      <c r="B33" s="389" t="s">
        <v>778</v>
      </c>
      <c r="C33" s="390" t="s">
        <v>779</v>
      </c>
      <c r="D33" s="390">
        <v>1981</v>
      </c>
      <c r="E33" s="389" t="s">
        <v>680</v>
      </c>
      <c r="F33" s="389">
        <f>630*2</f>
        <v>1260</v>
      </c>
      <c r="G33" s="389">
        <f t="shared" si="2"/>
        <v>1171.8</v>
      </c>
      <c r="H33" s="389">
        <v>2</v>
      </c>
      <c r="I33" s="388">
        <v>1994.88</v>
      </c>
      <c r="J33" s="391">
        <f t="shared" si="3"/>
        <v>1396.4159999999999</v>
      </c>
      <c r="K33" s="372"/>
      <c r="L33" s="372"/>
    </row>
    <row r="34" spans="1:12" ht="45" x14ac:dyDescent="0.25">
      <c r="A34" s="389">
        <v>25</v>
      </c>
      <c r="B34" s="389" t="s">
        <v>780</v>
      </c>
      <c r="C34" s="390" t="s">
        <v>781</v>
      </c>
      <c r="D34" s="390" t="s">
        <v>740</v>
      </c>
      <c r="E34" s="389" t="s">
        <v>680</v>
      </c>
      <c r="F34" s="389">
        <f>630*2</f>
        <v>1260</v>
      </c>
      <c r="G34" s="389">
        <f t="shared" si="2"/>
        <v>1171.8</v>
      </c>
      <c r="H34" s="389">
        <v>2</v>
      </c>
      <c r="I34" s="388">
        <v>816.08</v>
      </c>
      <c r="J34" s="391">
        <f t="shared" si="3"/>
        <v>571.25599999999997</v>
      </c>
      <c r="K34" s="372"/>
      <c r="L34" s="372"/>
    </row>
    <row r="35" spans="1:12" ht="30" x14ac:dyDescent="0.25">
      <c r="A35" s="389">
        <v>26</v>
      </c>
      <c r="B35" s="389" t="s">
        <v>782</v>
      </c>
      <c r="C35" s="390" t="s">
        <v>783</v>
      </c>
      <c r="D35" s="390">
        <v>1983</v>
      </c>
      <c r="E35" s="389" t="s">
        <v>678</v>
      </c>
      <c r="F35" s="389">
        <f>630*2</f>
        <v>1260</v>
      </c>
      <c r="G35" s="389">
        <f t="shared" si="2"/>
        <v>1171.8</v>
      </c>
      <c r="H35" s="389">
        <v>2</v>
      </c>
      <c r="I35" s="388">
        <v>775.25</v>
      </c>
      <c r="J35" s="391">
        <f t="shared" si="3"/>
        <v>542.67499999999995</v>
      </c>
      <c r="K35" s="372"/>
      <c r="L35" s="372"/>
    </row>
    <row r="36" spans="1:12" ht="30" x14ac:dyDescent="0.25">
      <c r="A36" s="389">
        <v>27</v>
      </c>
      <c r="B36" s="389" t="s">
        <v>784</v>
      </c>
      <c r="C36" s="390" t="s">
        <v>785</v>
      </c>
      <c r="D36" s="390">
        <v>1985</v>
      </c>
      <c r="E36" s="389" t="s">
        <v>792</v>
      </c>
      <c r="F36" s="389">
        <f>630*2</f>
        <v>1260</v>
      </c>
      <c r="G36" s="389">
        <f t="shared" si="2"/>
        <v>1171.8</v>
      </c>
      <c r="H36" s="389">
        <v>2</v>
      </c>
      <c r="I36" s="388">
        <v>469.7</v>
      </c>
      <c r="J36" s="391">
        <f t="shared" si="3"/>
        <v>328.78999999999996</v>
      </c>
      <c r="K36" s="372"/>
      <c r="L36" s="372"/>
    </row>
    <row r="37" spans="1:12" ht="30" customHeight="1" x14ac:dyDescent="0.25">
      <c r="A37" s="475">
        <v>28</v>
      </c>
      <c r="B37" s="475" t="s">
        <v>786</v>
      </c>
      <c r="C37" s="476" t="s">
        <v>787</v>
      </c>
      <c r="D37" s="476">
        <v>1986</v>
      </c>
      <c r="E37" s="389" t="s">
        <v>793</v>
      </c>
      <c r="F37" s="475">
        <f>400+400</f>
        <v>800</v>
      </c>
      <c r="G37" s="475">
        <f t="shared" si="2"/>
        <v>744</v>
      </c>
      <c r="H37" s="475">
        <v>2</v>
      </c>
      <c r="I37" s="474">
        <v>703.66</v>
      </c>
      <c r="J37" s="466">
        <f>I37*0.7</f>
        <v>492.56199999999995</v>
      </c>
      <c r="K37" s="372"/>
      <c r="L37" s="372"/>
    </row>
    <row r="38" spans="1:12" x14ac:dyDescent="0.25">
      <c r="A38" s="475"/>
      <c r="B38" s="475"/>
      <c r="C38" s="476"/>
      <c r="D38" s="476"/>
      <c r="E38" s="389" t="s">
        <v>679</v>
      </c>
      <c r="F38" s="475"/>
      <c r="G38" s="475"/>
      <c r="H38" s="475"/>
      <c r="I38" s="474"/>
      <c r="J38" s="466"/>
      <c r="K38" s="372"/>
      <c r="L38" s="372"/>
    </row>
    <row r="39" spans="1:12" ht="30" x14ac:dyDescent="0.25">
      <c r="A39" s="378">
        <v>29</v>
      </c>
      <c r="B39" s="378" t="s">
        <v>675</v>
      </c>
      <c r="C39" s="383" t="s">
        <v>788</v>
      </c>
      <c r="D39" s="383">
        <v>1991</v>
      </c>
      <c r="E39" s="378" t="s">
        <v>792</v>
      </c>
      <c r="F39" s="378">
        <v>630</v>
      </c>
      <c r="G39" s="378">
        <f>F39*0.93</f>
        <v>585.9</v>
      </c>
      <c r="H39" s="378">
        <v>1</v>
      </c>
      <c r="I39" s="378">
        <v>283</v>
      </c>
      <c r="J39" s="379">
        <f>I39*0.7</f>
        <v>198.1</v>
      </c>
      <c r="K39" s="372"/>
      <c r="L39" s="372"/>
    </row>
    <row r="40" spans="1:12" ht="15.75" x14ac:dyDescent="0.25">
      <c r="A40" s="380"/>
      <c r="B40" s="380" t="s">
        <v>682</v>
      </c>
      <c r="C40" s="380"/>
      <c r="D40" s="380"/>
      <c r="E40" s="380"/>
      <c r="F40" s="380">
        <f>SUM(F8:F39)</f>
        <v>29280</v>
      </c>
      <c r="G40" s="380">
        <f>SUM(G8:G39)</f>
        <v>27230.399999999994</v>
      </c>
      <c r="H40" s="380">
        <f>SUM(H8:H39)</f>
        <v>49</v>
      </c>
      <c r="I40" s="380">
        <f>SUM(I8:I39)</f>
        <v>26158.517000000003</v>
      </c>
      <c r="J40" s="380">
        <f>SUM(J8:J39)</f>
        <v>18310.961900000002</v>
      </c>
      <c r="K40" s="372"/>
      <c r="L40" s="372"/>
    </row>
    <row r="42" spans="1:12" x14ac:dyDescent="0.25">
      <c r="A42" t="s">
        <v>789</v>
      </c>
    </row>
    <row r="43" spans="1:12" x14ac:dyDescent="0.25">
      <c r="A43" t="s">
        <v>737</v>
      </c>
      <c r="J43" t="s">
        <v>790</v>
      </c>
    </row>
    <row r="46" spans="1:12" x14ac:dyDescent="0.25">
      <c r="B46" s="381"/>
      <c r="C46" t="s">
        <v>791</v>
      </c>
    </row>
  </sheetData>
  <mergeCells count="41">
    <mergeCell ref="A2:J2"/>
    <mergeCell ref="A4:A6"/>
    <mergeCell ref="B4:B6"/>
    <mergeCell ref="C4:C6"/>
    <mergeCell ref="D4:D6"/>
    <mergeCell ref="K4:K6"/>
    <mergeCell ref="E5:E6"/>
    <mergeCell ref="F5:F6"/>
    <mergeCell ref="G5:G6"/>
    <mergeCell ref="H5:H6"/>
    <mergeCell ref="A21:A22"/>
    <mergeCell ref="B21:B22"/>
    <mergeCell ref="C21:C22"/>
    <mergeCell ref="D21:D22"/>
    <mergeCell ref="H21:H22"/>
    <mergeCell ref="A23:A24"/>
    <mergeCell ref="B23:B24"/>
    <mergeCell ref="C23:C24"/>
    <mergeCell ref="D23:D24"/>
    <mergeCell ref="H23:H24"/>
    <mergeCell ref="A37:A38"/>
    <mergeCell ref="B37:B38"/>
    <mergeCell ref="C37:C38"/>
    <mergeCell ref="D37:D38"/>
    <mergeCell ref="H37:H38"/>
    <mergeCell ref="J37:J38"/>
    <mergeCell ref="E4:H4"/>
    <mergeCell ref="I4:J4"/>
    <mergeCell ref="I5:I6"/>
    <mergeCell ref="J5:J6"/>
    <mergeCell ref="I21:I22"/>
    <mergeCell ref="J23:J24"/>
    <mergeCell ref="I37:I38"/>
    <mergeCell ref="J21:J22"/>
    <mergeCell ref="I23:I24"/>
    <mergeCell ref="F37:F38"/>
    <mergeCell ref="G37:G38"/>
    <mergeCell ref="F21:F22"/>
    <mergeCell ref="G21:G22"/>
    <mergeCell ref="F23:F24"/>
    <mergeCell ref="G23:G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КАБЕЛЬНЫЕ ЛИНИИ </vt:lpstr>
      <vt:lpstr>6кВ</vt:lpstr>
      <vt:lpstr>0,4 кВ</vt:lpstr>
      <vt:lpstr>загруженность ТП </vt:lpstr>
      <vt:lpstr>'КАБЕЛЬНЫЕ ЛИНИИ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Т. Е. Гончаренко</dc:creator>
  <cp:lastModifiedBy>Т. Е. Гончаренко</cp:lastModifiedBy>
  <cp:lastPrinted>2025-02-11T11:44:33Z</cp:lastPrinted>
  <dcterms:created xsi:type="dcterms:W3CDTF">2015-06-05T18:19:34Z</dcterms:created>
  <dcterms:modified xsi:type="dcterms:W3CDTF">2026-02-03T03:51:43Z</dcterms:modified>
</cp:coreProperties>
</file>